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5172007F-5325-4A43-A82E-78B6291C9BA3}" xr6:coauthVersionLast="47" xr6:coauthVersionMax="47" xr10:uidLastSave="{00000000-0000-0000-0000-000000000000}"/>
  <bookViews>
    <workbookView xWindow="2295" yWindow="2295" windowWidth="18075" windowHeight="16020" activeTab="1" xr2:uid="{D0C0417E-D47B-4F95-BD79-797E66097AD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8" i="2" l="1"/>
  <c r="AK18" i="2"/>
  <c r="AJ18" i="2"/>
  <c r="AI18" i="2"/>
  <c r="AH18" i="2"/>
  <c r="AG18" i="2"/>
  <c r="AF18" i="2"/>
  <c r="AE18" i="2"/>
  <c r="AE14" i="2"/>
  <c r="AE12" i="2"/>
  <c r="AE13" i="2" s="1"/>
  <c r="AE9" i="2"/>
  <c r="AF21" i="2"/>
  <c r="AE21" i="2"/>
  <c r="AG21" i="2"/>
  <c r="AF14" i="2"/>
  <c r="AF12" i="2"/>
  <c r="AF13" i="2" s="1"/>
  <c r="AF9" i="2"/>
  <c r="AI28" i="2"/>
  <c r="AH28" i="2"/>
  <c r="AG28" i="2"/>
  <c r="AJ21" i="2"/>
  <c r="AI21" i="2"/>
  <c r="AH21" i="2"/>
  <c r="AI12" i="2"/>
  <c r="AH12" i="2"/>
  <c r="AG12" i="2"/>
  <c r="AI9" i="2"/>
  <c r="AH9" i="2"/>
  <c r="AG9" i="2"/>
  <c r="AK28" i="2"/>
  <c r="AJ28" i="2"/>
  <c r="AL28" i="2"/>
  <c r="AJ14" i="2"/>
  <c r="AK14" i="2"/>
  <c r="AL14" i="2"/>
  <c r="AJ12" i="2"/>
  <c r="AJ9" i="2"/>
  <c r="AK12" i="2"/>
  <c r="AL12" i="2"/>
  <c r="AK7" i="2"/>
  <c r="AK9" i="2" s="1"/>
  <c r="AL7" i="2"/>
  <c r="AK2" i="2"/>
  <c r="AL2" i="2" s="1"/>
  <c r="AM2" i="2" s="1"/>
  <c r="AN2" i="2" s="1"/>
  <c r="AO2" i="2" s="1"/>
  <c r="AP2" i="2" s="1"/>
  <c r="AQ2" i="2" s="1"/>
  <c r="AR2" i="2" s="1"/>
  <c r="W28" i="2"/>
  <c r="S28" i="2"/>
  <c r="V15" i="2"/>
  <c r="U15" i="2"/>
  <c r="T15" i="2"/>
  <c r="W14" i="2"/>
  <c r="S12" i="2"/>
  <c r="W12" i="2"/>
  <c r="S9" i="2"/>
  <c r="S22" i="2"/>
  <c r="W9" i="2"/>
  <c r="W21" i="2"/>
  <c r="L5" i="1"/>
  <c r="D14" i="2"/>
  <c r="D12" i="2"/>
  <c r="H14" i="2"/>
  <c r="H12" i="2"/>
  <c r="D7" i="2"/>
  <c r="H7" i="2"/>
  <c r="H9" i="2" s="1"/>
  <c r="H22" i="2" s="1"/>
  <c r="E14" i="2"/>
  <c r="I14" i="2"/>
  <c r="E12" i="2"/>
  <c r="E7" i="2"/>
  <c r="E9" i="2" s="1"/>
  <c r="I12" i="2"/>
  <c r="I7" i="2"/>
  <c r="F14" i="2"/>
  <c r="F12" i="2"/>
  <c r="J14" i="2"/>
  <c r="F7" i="2"/>
  <c r="F9" i="2" s="1"/>
  <c r="F22" i="2" s="1"/>
  <c r="J12" i="2"/>
  <c r="J7" i="2"/>
  <c r="J9" i="2" s="1"/>
  <c r="J22" i="2" s="1"/>
  <c r="G7" i="2"/>
  <c r="G9" i="2" s="1"/>
  <c r="G22" i="2" s="1"/>
  <c r="K7" i="2"/>
  <c r="K9" i="2" s="1"/>
  <c r="G14" i="2"/>
  <c r="G12" i="2"/>
  <c r="K14" i="2"/>
  <c r="K12" i="2"/>
  <c r="L4" i="1"/>
  <c r="AE15" i="2" l="1"/>
  <c r="AE17" i="2" s="1"/>
  <c r="AF15" i="2"/>
  <c r="AF17" i="2" s="1"/>
  <c r="W13" i="2"/>
  <c r="AI13" i="2"/>
  <c r="AI15" i="2" s="1"/>
  <c r="AI17" i="2" s="1"/>
  <c r="AH13" i="2"/>
  <c r="AH15" i="2" s="1"/>
  <c r="AH17" i="2" s="1"/>
  <c r="AG13" i="2"/>
  <c r="AG15" i="2" s="1"/>
  <c r="AG17" i="2" s="1"/>
  <c r="AL21" i="2"/>
  <c r="H21" i="2"/>
  <c r="W23" i="2"/>
  <c r="W15" i="2"/>
  <c r="W17" i="2" s="1"/>
  <c r="W18" i="2" s="1"/>
  <c r="AL9" i="2"/>
  <c r="AL13" i="2" s="1"/>
  <c r="AL15" i="2" s="1"/>
  <c r="AL17" i="2" s="1"/>
  <c r="K13" i="2"/>
  <c r="K15" i="2" s="1"/>
  <c r="K17" i="2" s="1"/>
  <c r="K18" i="2" s="1"/>
  <c r="W22" i="2"/>
  <c r="AJ13" i="2"/>
  <c r="AJ15" i="2" s="1"/>
  <c r="AJ17" i="2" s="1"/>
  <c r="K21" i="2"/>
  <c r="AK21" i="2"/>
  <c r="D9" i="2"/>
  <c r="D13" i="2" s="1"/>
  <c r="D15" i="2" s="1"/>
  <c r="D17" i="2" s="1"/>
  <c r="D18" i="2" s="1"/>
  <c r="S13" i="2"/>
  <c r="J21" i="2"/>
  <c r="K22" i="2"/>
  <c r="AK13" i="2"/>
  <c r="AK15" i="2" s="1"/>
  <c r="AK17" i="2" s="1"/>
  <c r="L7" i="1"/>
  <c r="D22" i="2"/>
  <c r="H13" i="2"/>
  <c r="H15" i="2" s="1"/>
  <c r="H17" i="2" s="1"/>
  <c r="H18" i="2" s="1"/>
  <c r="E13" i="2"/>
  <c r="E15" i="2" s="1"/>
  <c r="E17" i="2" s="1"/>
  <c r="E18" i="2" s="1"/>
  <c r="E22" i="2"/>
  <c r="I21" i="2"/>
  <c r="I9" i="2"/>
  <c r="F13" i="2"/>
  <c r="F15" i="2" s="1"/>
  <c r="F17" i="2" s="1"/>
  <c r="F18" i="2" s="1"/>
  <c r="J13" i="2"/>
  <c r="J15" i="2" s="1"/>
  <c r="J17" i="2" s="1"/>
  <c r="J18" i="2" s="1"/>
  <c r="G13" i="2"/>
  <c r="G15" i="2" s="1"/>
  <c r="G17" i="2" s="1"/>
  <c r="G18" i="2" s="1"/>
  <c r="S23" i="2" l="1"/>
  <c r="S15" i="2"/>
  <c r="S17" i="2" s="1"/>
  <c r="S18" i="2" s="1"/>
  <c r="I22" i="2"/>
  <c r="I13" i="2"/>
  <c r="I15" i="2" s="1"/>
  <c r="I17" i="2" s="1"/>
  <c r="I18" i="2" s="1"/>
</calcChain>
</file>

<file path=xl/sharedStrings.xml><?xml version="1.0" encoding="utf-8"?>
<sst xmlns="http://schemas.openxmlformats.org/spreadsheetml/2006/main" count="56" uniqueCount="51">
  <si>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</si>
  <si>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</si>
  <si>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</si>
  <si>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</si>
  <si>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</si>
  <si>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</si>
  <si>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</si>
  <si>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</si>
  <si>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</si>
  <si>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</si>
  <si>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</si>
  <si>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</si>
  <si>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</si>
  <si>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</si>
  <si>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</si>
  <si>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</si>
  <si>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</si>
  <si>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</si>
  <si>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</si>
  <si>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</si>
  <si>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</si>
  <si>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Margin</t>
  </si>
  <si>
    <t>SG&amp;A</t>
  </si>
  <si>
    <t>R&amp;D</t>
  </si>
  <si>
    <t>OpEx</t>
  </si>
  <si>
    <t>OpInc</t>
  </si>
  <si>
    <t>EPS</t>
  </si>
  <si>
    <t>Net Income</t>
  </si>
  <si>
    <t>Taxes</t>
  </si>
  <si>
    <t>Pretax Income</t>
  </si>
  <si>
    <t>Interest</t>
  </si>
  <si>
    <t>TAVR</t>
  </si>
  <si>
    <t>Mitral/Tricuspid</t>
  </si>
  <si>
    <t>Structural</t>
  </si>
  <si>
    <t>Critical Care</t>
  </si>
  <si>
    <t>Revenue y/y</t>
  </si>
  <si>
    <t>Q125</t>
  </si>
  <si>
    <t>Q123</t>
  </si>
  <si>
    <t>Q223</t>
  </si>
  <si>
    <t>Q323</t>
  </si>
  <si>
    <t>Q423</t>
  </si>
  <si>
    <t>Q124</t>
  </si>
  <si>
    <t>Q224</t>
  </si>
  <si>
    <t>Q324</t>
  </si>
  <si>
    <t>Q424</t>
  </si>
  <si>
    <t>Q225</t>
  </si>
  <si>
    <t>Q325</t>
  </si>
  <si>
    <t>Q425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</si>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</sst>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85725</xdr:rowOff>
    </xdr:from>
    <xdr:to>
      <xdr:col>11</xdr:col>
      <xdr:colOff>28575</xdr:colOff>
      <xdr:row>29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A012DF5-4CF4-5D21-8916-AC0A8492CB9C}"/>
            </a:ext>
          </a:extLst>
        </xdr:cNvPr>
        <xdr:cNvCxnSpPr/>
      </xdr:nvCxnSpPr>
      <xdr:spPr>
        <a:xfrm>
          <a:off x="6724650" y="85725"/>
          <a:ext cx="0" cy="401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40105</xdr:colOff>
      <xdr:row>0</xdr:row>
      <xdr:rowOff>60158</xdr:rowOff>
    </xdr:from>
    <xdr:to>
      <xdr:col>23</xdr:col>
      <xdr:colOff>40105</xdr:colOff>
      <xdr:row>33</xdr:row>
      <xdr:rowOff>85223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72F6FFE-74D2-980A-7D3D-FCA09CC6636A}"/>
            </a:ext>
          </a:extLst>
        </xdr:cNvPr>
        <xdr:cNvCxnSpPr/>
      </xdr:nvCxnSpPr>
      <xdr:spPr>
        <a:xfrm>
          <a:off x="14457947" y="60158"/>
          <a:ext cx="0" cy="53189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1D34-777E-4C00-8C4E-354517E2CCFA}">
  <dimension ref="K2:M7"/>
  <sheetViews>
    <sheetView zoomScaleNormal="100" workbookViewId="0">
      <selection activeCell="M7" sqref="M7"/>
    </sheetView>
  </sheetViews>
  <sheetFormatPr defaultRowHeight="12.75" x14ac:dyDescent="0.2"/>
  <sheetData>
    <row r="2" spans="11:13" x14ac:dyDescent="0.2">
      <c r="K2" t="s">
        <v>0</v>
      </c>
      <c r="L2" s="1">
        <v>76.87</v>
      </c>
    </row>
    <row r="3" spans="11:13" x14ac:dyDescent="0.2">
      <c r="K3" t="s">
        <v>1</v>
      </c>
      <c r="L3" s="3">
        <v>586.6</v>
      </c>
      <c r="M3" s="2" t="s">
        <v>36</v>
      </c>
    </row>
    <row r="4" spans="11:13" x14ac:dyDescent="0.2">
      <c r="K4" t="s">
        <v>2</v>
      </c>
      <c r="L4" s="3">
        <f>+L2*L3</f>
        <v>45091.942000000003</v>
      </c>
      <c r="M4" s="2"/>
    </row>
    <row r="5" spans="11:13" x14ac:dyDescent="0.2">
      <c r="K5" t="s">
        <v>3</v>
      </c>
      <c r="L5" s="3">
        <f>3140.6+757.9+277.9</f>
        <v>4176.3999999999996</v>
      </c>
      <c r="M5" s="2" t="s">
        <v>36</v>
      </c>
    </row>
    <row r="6" spans="11:13" x14ac:dyDescent="0.2">
      <c r="K6" t="s">
        <v>4</v>
      </c>
      <c r="L6" s="3">
        <v>597.79999999999995</v>
      </c>
      <c r="M6" s="2" t="s">
        <v>36</v>
      </c>
    </row>
    <row r="7" spans="11:13" x14ac:dyDescent="0.2">
      <c r="K7" t="s">
        <v>5</v>
      </c>
      <c r="L7" s="3">
        <f>+L4-L5+L6</f>
        <v>41513.342000000004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6362-791C-41EB-B177-294AFC7B1955}">
  <dimension ref="A1:AR28"/>
  <sheetViews>
    <sheetView tabSelected="1" zoomScaleNormal="100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L28" sqref="AL28"/>
    </sheetView>
  </sheetViews>
  <sheetFormatPr defaultRowHeight="12.75" x14ac:dyDescent="0.2"/>
  <cols>
    <col min="1" max="1" width="5" bestFit="1" customWidth="1"/>
    <col min="2" max="2" width="13.140625" bestFit="1" customWidth="1"/>
    <col min="3" max="14" width="9.140625" style="2"/>
  </cols>
  <sheetData>
    <row r="1" spans="1:44" x14ac:dyDescent="0.2">
      <c r="A1" t="s">
        <v>7</v>
      </c>
    </row>
    <row r="2" spans="1:4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6</v>
      </c>
      <c r="L2" s="2" t="s">
        <v>17</v>
      </c>
      <c r="M2" s="2" t="s">
        <v>18</v>
      </c>
      <c r="N2" s="2" t="s">
        <v>19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36</v>
      </c>
      <c r="X2" s="2" t="s">
        <v>45</v>
      </c>
      <c r="Y2" s="2" t="s">
        <v>46</v>
      </c>
      <c r="Z2" s="2" t="s">
        <v>47</v>
      </c>
      <c r="AD2">
        <v>2016</v>
      </c>
      <c r="AE2">
        <v>2017</v>
      </c>
      <c r="AF2">
        <v>2018</v>
      </c>
      <c r="AG2">
        <v>2019</v>
      </c>
      <c r="AH2">
        <v>2020</v>
      </c>
      <c r="AI2">
        <v>2021</v>
      </c>
      <c r="AJ2">
        <v>2022</v>
      </c>
      <c r="AK2">
        <f t="shared" ref="AK2:AR2" si="0">+AJ2+1</f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</row>
    <row r="3" spans="1:44" s="3" customFormat="1" x14ac:dyDescent="0.2">
      <c r="B3" s="3" t="s">
        <v>31</v>
      </c>
      <c r="C3" s="4"/>
      <c r="D3" s="4">
        <v>594.29999999999995</v>
      </c>
      <c r="E3" s="4">
        <v>744.6</v>
      </c>
      <c r="F3" s="4">
        <v>776.2</v>
      </c>
      <c r="G3" s="4">
        <v>791.7</v>
      </c>
      <c r="H3" s="4">
        <v>901.5</v>
      </c>
      <c r="I3" s="4">
        <v>857.8</v>
      </c>
      <c r="J3" s="4">
        <v>871.5</v>
      </c>
      <c r="K3" s="4">
        <v>881.3</v>
      </c>
      <c r="L3" s="4"/>
      <c r="M3" s="4"/>
      <c r="N3" s="4"/>
      <c r="AF3" s="3">
        <v>2283.8000000000002</v>
      </c>
      <c r="AG3" s="3">
        <v>2737.9</v>
      </c>
      <c r="AH3" s="3">
        <v>2857.3</v>
      </c>
      <c r="AI3" s="3">
        <v>3422.5</v>
      </c>
      <c r="AK3" s="3">
        <v>3879.8</v>
      </c>
      <c r="AL3" s="3">
        <v>4106.1000000000004</v>
      </c>
    </row>
    <row r="4" spans="1:44" s="3" customFormat="1" x14ac:dyDescent="0.2">
      <c r="B4" s="3" t="s">
        <v>32</v>
      </c>
      <c r="C4" s="4"/>
      <c r="D4" s="4">
        <v>6.1</v>
      </c>
      <c r="E4" s="4">
        <v>12.1</v>
      </c>
      <c r="F4" s="4">
        <v>13.1</v>
      </c>
      <c r="G4" s="4">
        <v>16.3</v>
      </c>
      <c r="H4" s="4">
        <v>22.1</v>
      </c>
      <c r="I4" s="4">
        <v>22.3</v>
      </c>
      <c r="J4" s="4">
        <v>25.3</v>
      </c>
      <c r="K4" s="4">
        <v>27</v>
      </c>
      <c r="L4" s="4"/>
      <c r="M4" s="4"/>
      <c r="N4" s="4"/>
      <c r="AF4" s="3">
        <v>2.9</v>
      </c>
      <c r="AG4" s="3">
        <v>28.2</v>
      </c>
      <c r="AH4" s="3">
        <v>41.8</v>
      </c>
      <c r="AI4" s="3">
        <v>86</v>
      </c>
      <c r="AK4" s="3">
        <v>197.6</v>
      </c>
      <c r="AL4" s="3">
        <v>352.1</v>
      </c>
    </row>
    <row r="5" spans="1:44" s="3" customFormat="1" x14ac:dyDescent="0.2">
      <c r="B5" s="3" t="s">
        <v>33</v>
      </c>
      <c r="C5" s="4"/>
      <c r="D5" s="4">
        <v>160.9</v>
      </c>
      <c r="E5" s="4">
        <v>203.3</v>
      </c>
      <c r="F5" s="4">
        <v>204.2</v>
      </c>
      <c r="G5" s="4">
        <v>213</v>
      </c>
      <c r="H5" s="4">
        <v>237.4</v>
      </c>
      <c r="I5" s="4">
        <v>217.4</v>
      </c>
      <c r="J5" s="4">
        <v>221.3</v>
      </c>
      <c r="K5" s="4">
        <v>220.8</v>
      </c>
      <c r="L5" s="4"/>
      <c r="M5" s="4"/>
      <c r="N5" s="4"/>
      <c r="AF5" s="3">
        <v>761.6</v>
      </c>
      <c r="AG5" s="3">
        <v>841.7</v>
      </c>
      <c r="AH5" s="3">
        <v>761.8</v>
      </c>
      <c r="AI5" s="3">
        <v>889.1</v>
      </c>
      <c r="AK5" s="3">
        <v>932.6</v>
      </c>
      <c r="AL5" s="3">
        <v>981.3</v>
      </c>
    </row>
    <row r="6" spans="1:44" s="3" customFormat="1" x14ac:dyDescent="0.2">
      <c r="B6" s="3" t="s">
        <v>34</v>
      </c>
      <c r="C6" s="4"/>
      <c r="D6" s="4">
        <v>163.69999999999999</v>
      </c>
      <c r="E6" s="4">
        <v>180.9</v>
      </c>
      <c r="F6" s="4">
        <v>198.2</v>
      </c>
      <c r="G6" s="4">
        <v>195.6</v>
      </c>
      <c r="H6" s="4">
        <v>215</v>
      </c>
      <c r="I6" s="4">
        <v>212.7</v>
      </c>
      <c r="J6" s="4">
        <v>211.6</v>
      </c>
      <c r="K6" s="4">
        <v>212.1</v>
      </c>
      <c r="L6" s="4"/>
      <c r="M6" s="4"/>
      <c r="N6" s="4"/>
      <c r="AF6" s="3">
        <v>674.5</v>
      </c>
      <c r="AG6" s="3">
        <v>740.2</v>
      </c>
      <c r="AH6" s="3">
        <v>725.4</v>
      </c>
      <c r="AI6" s="3">
        <v>834.9</v>
      </c>
    </row>
    <row r="7" spans="1:44" s="6" customFormat="1" x14ac:dyDescent="0.2">
      <c r="B7" s="6" t="s">
        <v>8</v>
      </c>
      <c r="C7" s="7"/>
      <c r="D7" s="7">
        <f t="shared" ref="D7:K7" si="1">SUM(D3:D6)</f>
        <v>925</v>
      </c>
      <c r="E7" s="7">
        <f t="shared" si="1"/>
        <v>1140.9000000000001</v>
      </c>
      <c r="F7" s="7">
        <f t="shared" si="1"/>
        <v>1191.7</v>
      </c>
      <c r="G7" s="7">
        <f t="shared" si="1"/>
        <v>1216.5999999999999</v>
      </c>
      <c r="H7" s="7">
        <f t="shared" si="1"/>
        <v>1376</v>
      </c>
      <c r="I7" s="7">
        <f t="shared" si="1"/>
        <v>1310.2</v>
      </c>
      <c r="J7" s="7">
        <f t="shared" si="1"/>
        <v>1329.6999999999998</v>
      </c>
      <c r="K7" s="7">
        <f t="shared" si="1"/>
        <v>1341.1999999999998</v>
      </c>
      <c r="L7" s="7"/>
      <c r="M7" s="7"/>
      <c r="N7" s="7"/>
      <c r="S7" s="6">
        <v>1329.9</v>
      </c>
      <c r="W7" s="6">
        <v>1412.7</v>
      </c>
      <c r="AD7" s="6">
        <v>2963.7</v>
      </c>
      <c r="AE7" s="6">
        <v>3435.3</v>
      </c>
      <c r="AF7" s="6">
        <v>3722.8</v>
      </c>
      <c r="AG7" s="6">
        <v>4348</v>
      </c>
      <c r="AH7" s="6">
        <v>4386.3</v>
      </c>
      <c r="AI7" s="6">
        <v>5232.5</v>
      </c>
      <c r="AJ7" s="6">
        <v>4464</v>
      </c>
      <c r="AK7" s="6">
        <f>SUM(AK3:AK5)</f>
        <v>5010</v>
      </c>
      <c r="AL7" s="6">
        <f>SUM(AL3:AL5)</f>
        <v>5439.5000000000009</v>
      </c>
    </row>
    <row r="8" spans="1:44" s="3" customFormat="1" x14ac:dyDescent="0.2">
      <c r="B8" s="3" t="s">
        <v>20</v>
      </c>
      <c r="C8" s="4"/>
      <c r="D8" s="4">
        <v>238.2</v>
      </c>
      <c r="E8" s="4">
        <v>281</v>
      </c>
      <c r="F8" s="4">
        <v>296.3</v>
      </c>
      <c r="G8" s="4">
        <v>293.39999999999998</v>
      </c>
      <c r="H8" s="4">
        <v>334.3</v>
      </c>
      <c r="I8" s="4">
        <v>311.7</v>
      </c>
      <c r="J8" s="4">
        <v>309.5</v>
      </c>
      <c r="K8" s="4">
        <v>299.3</v>
      </c>
      <c r="L8" s="4"/>
      <c r="M8" s="4"/>
      <c r="N8" s="4"/>
      <c r="S8" s="3">
        <v>286.89999999999998</v>
      </c>
      <c r="W8" s="3">
        <v>301.60000000000002</v>
      </c>
      <c r="AE8" s="3">
        <v>875.3</v>
      </c>
      <c r="AF8" s="3">
        <v>939.4</v>
      </c>
      <c r="AG8" s="3">
        <v>1114.4000000000001</v>
      </c>
      <c r="AH8" s="3">
        <v>1080.5999999999999</v>
      </c>
      <c r="AI8" s="3">
        <v>1248.9000000000001</v>
      </c>
      <c r="AJ8" s="3">
        <v>723.7</v>
      </c>
      <c r="AK8" s="3">
        <v>978.4</v>
      </c>
      <c r="AL8" s="3">
        <v>1117.5</v>
      </c>
    </row>
    <row r="9" spans="1:44" s="3" customFormat="1" x14ac:dyDescent="0.2">
      <c r="B9" s="3" t="s">
        <v>21</v>
      </c>
      <c r="C9" s="4"/>
      <c r="D9" s="4">
        <f t="shared" ref="D9:K9" si="2">+D7-D8</f>
        <v>686.8</v>
      </c>
      <c r="E9" s="4">
        <f t="shared" si="2"/>
        <v>859.90000000000009</v>
      </c>
      <c r="F9" s="4">
        <f t="shared" si="2"/>
        <v>895.40000000000009</v>
      </c>
      <c r="G9" s="4">
        <f t="shared" si="2"/>
        <v>923.19999999999993</v>
      </c>
      <c r="H9" s="4">
        <f t="shared" si="2"/>
        <v>1041.7</v>
      </c>
      <c r="I9" s="4">
        <f t="shared" si="2"/>
        <v>998.5</v>
      </c>
      <c r="J9" s="4">
        <f t="shared" si="2"/>
        <v>1020.1999999999998</v>
      </c>
      <c r="K9" s="4">
        <f t="shared" si="2"/>
        <v>1041.8999999999999</v>
      </c>
      <c r="L9" s="4"/>
      <c r="M9" s="4"/>
      <c r="N9" s="4"/>
      <c r="S9" s="3">
        <f>+S7-S8</f>
        <v>1043</v>
      </c>
      <c r="W9" s="3">
        <f>+W7-W8</f>
        <v>1111.0999999999999</v>
      </c>
      <c r="AE9" s="3">
        <f>+AE7-AE8</f>
        <v>2560</v>
      </c>
      <c r="AF9" s="3">
        <f>+AF7-AF8</f>
        <v>2783.4</v>
      </c>
      <c r="AG9" s="3">
        <f t="shared" ref="AG9:AI9" si="3">+AG7-AG8</f>
        <v>3233.6</v>
      </c>
      <c r="AH9" s="3">
        <f t="shared" si="3"/>
        <v>3305.7000000000003</v>
      </c>
      <c r="AI9" s="3">
        <f t="shared" si="3"/>
        <v>3983.6</v>
      </c>
      <c r="AJ9" s="3">
        <f>+AJ7-AJ8</f>
        <v>3740.3</v>
      </c>
      <c r="AK9" s="3">
        <f>+AK7-AK8</f>
        <v>4031.6</v>
      </c>
      <c r="AL9" s="3">
        <f>+AL7-AL8</f>
        <v>4322.0000000000009</v>
      </c>
    </row>
    <row r="10" spans="1:44" s="3" customFormat="1" x14ac:dyDescent="0.2">
      <c r="B10" s="3" t="s">
        <v>22</v>
      </c>
      <c r="C10" s="4"/>
      <c r="D10" s="4">
        <v>274.89999999999998</v>
      </c>
      <c r="E10" s="4">
        <v>307.2</v>
      </c>
      <c r="F10" s="4">
        <v>338.5</v>
      </c>
      <c r="G10" s="4">
        <v>330.8</v>
      </c>
      <c r="H10" s="4">
        <v>374.5</v>
      </c>
      <c r="I10" s="4">
        <v>364.4</v>
      </c>
      <c r="J10" s="4">
        <v>424</v>
      </c>
      <c r="K10" s="4">
        <v>370.3</v>
      </c>
      <c r="L10" s="4"/>
      <c r="M10" s="4"/>
      <c r="N10" s="4"/>
      <c r="S10" s="3">
        <v>428.4</v>
      </c>
      <c r="W10" s="3">
        <v>465.7</v>
      </c>
      <c r="AE10" s="3">
        <v>990.8</v>
      </c>
      <c r="AF10" s="3">
        <v>1088.5</v>
      </c>
      <c r="AG10" s="3">
        <v>1242.2</v>
      </c>
      <c r="AH10" s="3">
        <v>1228.4000000000001</v>
      </c>
      <c r="AI10" s="3">
        <v>1493.7</v>
      </c>
      <c r="AJ10" s="3">
        <v>1357.6</v>
      </c>
      <c r="AK10" s="3">
        <v>1582.5</v>
      </c>
      <c r="AL10" s="3">
        <v>1789.2</v>
      </c>
    </row>
    <row r="11" spans="1:44" s="3" customFormat="1" x14ac:dyDescent="0.2">
      <c r="B11" s="3" t="s">
        <v>23</v>
      </c>
      <c r="C11" s="4"/>
      <c r="D11" s="4">
        <v>182.1</v>
      </c>
      <c r="E11" s="4">
        <v>195.5</v>
      </c>
      <c r="F11" s="4">
        <v>195.7</v>
      </c>
      <c r="G11" s="4">
        <v>207</v>
      </c>
      <c r="H11" s="4">
        <v>225.3</v>
      </c>
      <c r="I11" s="4">
        <v>238</v>
      </c>
      <c r="J11" s="4">
        <v>232.8</v>
      </c>
      <c r="K11" s="4">
        <v>228.6</v>
      </c>
      <c r="L11" s="4"/>
      <c r="M11" s="4"/>
      <c r="N11" s="4"/>
      <c r="S11" s="3">
        <v>256.7</v>
      </c>
      <c r="W11" s="3">
        <v>254.6</v>
      </c>
      <c r="AE11" s="3">
        <v>552.6</v>
      </c>
      <c r="AF11" s="3">
        <v>622.20000000000005</v>
      </c>
      <c r="AG11" s="3">
        <v>752.7</v>
      </c>
      <c r="AH11" s="3">
        <v>760.7</v>
      </c>
      <c r="AI11" s="3">
        <v>903.1</v>
      </c>
      <c r="AJ11" s="3">
        <v>843.6</v>
      </c>
      <c r="AK11" s="3">
        <v>962.9</v>
      </c>
      <c r="AL11" s="3">
        <v>1053</v>
      </c>
    </row>
    <row r="12" spans="1:44" s="3" customFormat="1" x14ac:dyDescent="0.2">
      <c r="B12" s="3" t="s">
        <v>24</v>
      </c>
      <c r="C12" s="4"/>
      <c r="D12" s="4">
        <f t="shared" ref="D12:K12" si="4">+D10+D11</f>
        <v>457</v>
      </c>
      <c r="E12" s="4">
        <f t="shared" si="4"/>
        <v>502.7</v>
      </c>
      <c r="F12" s="4">
        <f t="shared" si="4"/>
        <v>534.20000000000005</v>
      </c>
      <c r="G12" s="4">
        <f t="shared" si="4"/>
        <v>537.79999999999995</v>
      </c>
      <c r="H12" s="4">
        <f t="shared" si="4"/>
        <v>599.79999999999995</v>
      </c>
      <c r="I12" s="4">
        <f t="shared" si="4"/>
        <v>602.4</v>
      </c>
      <c r="J12" s="4">
        <f t="shared" si="4"/>
        <v>656.8</v>
      </c>
      <c r="K12" s="4">
        <f t="shared" si="4"/>
        <v>598.9</v>
      </c>
      <c r="L12" s="4"/>
      <c r="M12" s="4"/>
      <c r="N12" s="4"/>
      <c r="S12" s="3">
        <f>+S11+S10</f>
        <v>685.09999999999991</v>
      </c>
      <c r="W12" s="3">
        <f>+W11+W10</f>
        <v>720.3</v>
      </c>
      <c r="AE12" s="3">
        <f t="shared" ref="AE12" si="5">+AE10+AE11</f>
        <v>1543.4</v>
      </c>
      <c r="AF12" s="3">
        <f t="shared" ref="AF12" si="6">+AF10+AF11</f>
        <v>1710.7</v>
      </c>
      <c r="AG12" s="3">
        <f t="shared" ref="AG12" si="7">+AG10+AG11</f>
        <v>1994.9</v>
      </c>
      <c r="AH12" s="3">
        <f t="shared" ref="AH12" si="8">+AH10+AH11</f>
        <v>1989.1000000000001</v>
      </c>
      <c r="AI12" s="3">
        <f t="shared" ref="AI12" si="9">+AI10+AI11</f>
        <v>2396.8000000000002</v>
      </c>
      <c r="AJ12" s="3">
        <f t="shared" ref="AJ12" si="10">+AJ10+AJ11</f>
        <v>2201.1999999999998</v>
      </c>
      <c r="AK12" s="3">
        <f t="shared" ref="AK12" si="11">+AK10+AK11</f>
        <v>2545.4</v>
      </c>
      <c r="AL12" s="3">
        <f>+AL10+AL11</f>
        <v>2842.2</v>
      </c>
    </row>
    <row r="13" spans="1:44" s="3" customFormat="1" x14ac:dyDescent="0.2">
      <c r="B13" s="3" t="s">
        <v>25</v>
      </c>
      <c r="C13" s="4"/>
      <c r="D13" s="4">
        <f t="shared" ref="D13:K13" si="12">+D9-D12</f>
        <v>229.79999999999995</v>
      </c>
      <c r="E13" s="4">
        <f t="shared" si="12"/>
        <v>357.2000000000001</v>
      </c>
      <c r="F13" s="4">
        <f t="shared" si="12"/>
        <v>361.20000000000005</v>
      </c>
      <c r="G13" s="4">
        <f t="shared" si="12"/>
        <v>385.4</v>
      </c>
      <c r="H13" s="4">
        <f t="shared" si="12"/>
        <v>441.90000000000009</v>
      </c>
      <c r="I13" s="4">
        <f t="shared" si="12"/>
        <v>396.1</v>
      </c>
      <c r="J13" s="4">
        <f t="shared" si="12"/>
        <v>363.39999999999986</v>
      </c>
      <c r="K13" s="4">
        <f t="shared" si="12"/>
        <v>442.99999999999989</v>
      </c>
      <c r="L13" s="4"/>
      <c r="M13" s="4"/>
      <c r="N13" s="4"/>
      <c r="S13" s="3">
        <f>+S9-S12</f>
        <v>357.90000000000009</v>
      </c>
      <c r="W13" s="3">
        <f>+W9-W12</f>
        <v>390.79999999999995</v>
      </c>
      <c r="AE13" s="3">
        <f t="shared" ref="AE13" si="13">+AE9-AE12</f>
        <v>1016.5999999999999</v>
      </c>
      <c r="AF13" s="3">
        <f t="shared" ref="AF13" si="14">+AF9-AF12</f>
        <v>1072.7</v>
      </c>
      <c r="AG13" s="3">
        <f t="shared" ref="AG13" si="15">+AG9-AG12</f>
        <v>1238.6999999999998</v>
      </c>
      <c r="AH13" s="3">
        <f t="shared" ref="AH13" si="16">+AH9-AH12</f>
        <v>1316.6000000000001</v>
      </c>
      <c r="AI13" s="3">
        <f t="shared" ref="AI13" si="17">+AI9-AI12</f>
        <v>1586.7999999999997</v>
      </c>
      <c r="AJ13" s="3">
        <f t="shared" ref="AJ13" si="18">+AJ9-AJ12</f>
        <v>1539.1000000000004</v>
      </c>
      <c r="AK13" s="3">
        <f t="shared" ref="AK13" si="19">+AK9-AK12</f>
        <v>1486.1999999999998</v>
      </c>
      <c r="AL13" s="3">
        <f>+AL9-AL12</f>
        <v>1479.8000000000011</v>
      </c>
    </row>
    <row r="14" spans="1:44" s="3" customFormat="1" x14ac:dyDescent="0.2">
      <c r="B14" s="3" t="s">
        <v>30</v>
      </c>
      <c r="C14" s="4"/>
      <c r="D14" s="4">
        <f>1.8-0.3</f>
        <v>1.5</v>
      </c>
      <c r="E14" s="4">
        <f>0.8+5.7</f>
        <v>6.5</v>
      </c>
      <c r="F14" s="4">
        <f>0.5+4.2</f>
        <v>4.7</v>
      </c>
      <c r="G14" s="4">
        <f>0.3+5.5</f>
        <v>5.8</v>
      </c>
      <c r="H14" s="4">
        <f>-1+4.4</f>
        <v>3.4000000000000004</v>
      </c>
      <c r="I14" s="4">
        <f>-0.8+1.4</f>
        <v>0.59999999999999987</v>
      </c>
      <c r="J14" s="4">
        <f>0.5+1.4</f>
        <v>1.9</v>
      </c>
      <c r="K14" s="4">
        <f>-3.3+0.6</f>
        <v>-2.6999999999999997</v>
      </c>
      <c r="L14" s="4"/>
      <c r="M14" s="4"/>
      <c r="N14" s="4"/>
      <c r="S14" s="3">
        <v>16.5</v>
      </c>
      <c r="W14" s="3">
        <f>36.5+2.6</f>
        <v>39.1</v>
      </c>
      <c r="AE14" s="3">
        <f>-23.2+20.3</f>
        <v>-2.8999999999999986</v>
      </c>
      <c r="AF14" s="3">
        <f>29.9-32</f>
        <v>-2.1000000000000014</v>
      </c>
      <c r="AG14" s="3">
        <v>-20.7</v>
      </c>
      <c r="AH14" s="3">
        <v>-15.8</v>
      </c>
      <c r="AI14" s="3">
        <v>-18.399999999999999</v>
      </c>
      <c r="AJ14" s="3">
        <f>19.2-35.5</f>
        <v>-16.3</v>
      </c>
      <c r="AK14" s="3">
        <f>17.6-67.2</f>
        <v>-49.6</v>
      </c>
      <c r="AL14" s="3">
        <f>19.8-120.3</f>
        <v>-100.5</v>
      </c>
    </row>
    <row r="15" spans="1:44" s="3" customFormat="1" x14ac:dyDescent="0.2">
      <c r="B15" s="3" t="s">
        <v>29</v>
      </c>
      <c r="C15" s="4"/>
      <c r="D15" s="4">
        <f t="shared" ref="D15:K15" si="20">+D13+D14</f>
        <v>231.29999999999995</v>
      </c>
      <c r="E15" s="4">
        <f t="shared" si="20"/>
        <v>363.7000000000001</v>
      </c>
      <c r="F15" s="4">
        <f t="shared" si="20"/>
        <v>365.90000000000003</v>
      </c>
      <c r="G15" s="4">
        <f t="shared" si="20"/>
        <v>391.2</v>
      </c>
      <c r="H15" s="4">
        <f t="shared" si="20"/>
        <v>445.30000000000007</v>
      </c>
      <c r="I15" s="4">
        <f t="shared" si="20"/>
        <v>396.70000000000005</v>
      </c>
      <c r="J15" s="4">
        <f t="shared" si="20"/>
        <v>365.29999999999984</v>
      </c>
      <c r="K15" s="4">
        <f t="shared" si="20"/>
        <v>440.2999999999999</v>
      </c>
      <c r="L15" s="4"/>
      <c r="M15" s="4"/>
      <c r="N15" s="4"/>
      <c r="S15" s="3">
        <f t="shared" ref="S15:V15" si="21">+S13+S14</f>
        <v>374.40000000000009</v>
      </c>
      <c r="T15" s="3">
        <f t="shared" si="21"/>
        <v>0</v>
      </c>
      <c r="U15" s="3">
        <f t="shared" si="21"/>
        <v>0</v>
      </c>
      <c r="V15" s="3">
        <f t="shared" si="21"/>
        <v>0</v>
      </c>
      <c r="W15" s="3">
        <f>+W13+W14</f>
        <v>429.9</v>
      </c>
      <c r="AE15" s="3">
        <f t="shared" ref="AE15" si="22">+AE13+AE14</f>
        <v>1013.6999999999999</v>
      </c>
      <c r="AF15" s="3">
        <f t="shared" ref="AF15" si="23">+AF13+AF14</f>
        <v>1070.6000000000001</v>
      </c>
      <c r="AG15" s="3">
        <f t="shared" ref="AG15:AI15" si="24">+AG13+AG14</f>
        <v>1217.9999999999998</v>
      </c>
      <c r="AH15" s="3">
        <f t="shared" si="24"/>
        <v>1300.8000000000002</v>
      </c>
      <c r="AI15" s="3">
        <f t="shared" si="24"/>
        <v>1568.3999999999996</v>
      </c>
      <c r="AJ15" s="3">
        <f>+AJ13+AJ14</f>
        <v>1522.8000000000004</v>
      </c>
      <c r="AK15" s="3">
        <f>+AK13+AK14</f>
        <v>1436.6</v>
      </c>
      <c r="AL15" s="3">
        <f>+AL13+AL14</f>
        <v>1379.3000000000011</v>
      </c>
    </row>
    <row r="16" spans="1:44" s="3" customFormat="1" x14ac:dyDescent="0.2">
      <c r="B16" s="3" t="s">
        <v>28</v>
      </c>
      <c r="C16" s="4"/>
      <c r="D16" s="4">
        <v>0</v>
      </c>
      <c r="E16" s="4">
        <v>39.1</v>
      </c>
      <c r="F16" s="4">
        <v>46.6</v>
      </c>
      <c r="G16" s="4">
        <v>51.1</v>
      </c>
      <c r="H16" s="4">
        <v>56</v>
      </c>
      <c r="I16" s="4">
        <v>50.8</v>
      </c>
      <c r="J16" s="4">
        <v>41</v>
      </c>
      <c r="K16" s="4">
        <v>62.5</v>
      </c>
      <c r="L16" s="4"/>
      <c r="M16" s="4"/>
      <c r="N16" s="4"/>
      <c r="S16" s="3">
        <v>46.3</v>
      </c>
      <c r="W16" s="3">
        <v>70.3</v>
      </c>
      <c r="AE16" s="3">
        <v>451.3</v>
      </c>
      <c r="AF16" s="3">
        <v>39.200000000000003</v>
      </c>
      <c r="AG16" s="3">
        <v>119.6</v>
      </c>
      <c r="AH16" s="3">
        <v>93.3</v>
      </c>
      <c r="AI16" s="3">
        <v>198.9</v>
      </c>
      <c r="AJ16" s="3">
        <v>195.5</v>
      </c>
      <c r="AK16" s="3">
        <v>152.4</v>
      </c>
      <c r="AL16" s="3">
        <v>152.1</v>
      </c>
    </row>
    <row r="17" spans="2:38" s="3" customFormat="1" x14ac:dyDescent="0.2">
      <c r="B17" s="3" t="s">
        <v>27</v>
      </c>
      <c r="C17" s="4"/>
      <c r="D17" s="4">
        <f t="shared" ref="D17:K17" si="25">+D15-D16</f>
        <v>231.29999999999995</v>
      </c>
      <c r="E17" s="4">
        <f t="shared" si="25"/>
        <v>324.60000000000008</v>
      </c>
      <c r="F17" s="4">
        <f t="shared" si="25"/>
        <v>319.3</v>
      </c>
      <c r="G17" s="4">
        <f t="shared" si="25"/>
        <v>340.09999999999997</v>
      </c>
      <c r="H17" s="4">
        <f t="shared" si="25"/>
        <v>389.30000000000007</v>
      </c>
      <c r="I17" s="4">
        <f t="shared" si="25"/>
        <v>345.90000000000003</v>
      </c>
      <c r="J17" s="4">
        <f t="shared" si="25"/>
        <v>324.29999999999984</v>
      </c>
      <c r="K17" s="4">
        <f t="shared" si="25"/>
        <v>377.7999999999999</v>
      </c>
      <c r="L17" s="4"/>
      <c r="M17" s="4"/>
      <c r="N17" s="4"/>
      <c r="S17" s="3">
        <f>+S15-S16</f>
        <v>328.10000000000008</v>
      </c>
      <c r="W17" s="3">
        <f>+W15-W16</f>
        <v>359.59999999999997</v>
      </c>
      <c r="AE17" s="3">
        <f t="shared" ref="AE17" si="26">+AE15-AE16</f>
        <v>562.39999999999986</v>
      </c>
      <c r="AF17" s="3">
        <f t="shared" ref="AF17" si="27">+AF15-AF16</f>
        <v>1031.4000000000001</v>
      </c>
      <c r="AG17" s="3">
        <f t="shared" ref="AG17:AI17" si="28">+AG15-AG16</f>
        <v>1098.3999999999999</v>
      </c>
      <c r="AH17" s="3">
        <f t="shared" si="28"/>
        <v>1207.5000000000002</v>
      </c>
      <c r="AI17" s="3">
        <f t="shared" si="28"/>
        <v>1369.4999999999995</v>
      </c>
      <c r="AJ17" s="3">
        <f>+AJ15-AJ16</f>
        <v>1327.3000000000004</v>
      </c>
      <c r="AK17" s="3">
        <f>+AK15-AK16</f>
        <v>1284.1999999999998</v>
      </c>
      <c r="AL17" s="3">
        <f>+AL15-AL16</f>
        <v>1227.2000000000012</v>
      </c>
    </row>
    <row r="18" spans="2:38" x14ac:dyDescent="0.2">
      <c r="B18" t="s">
        <v>26</v>
      </c>
      <c r="D18" s="5">
        <f t="shared" ref="D18:K18" si="29">+D17/D19</f>
        <v>0.37288408834434944</v>
      </c>
      <c r="E18" s="5">
        <f t="shared" si="29"/>
        <v>0.51442155309033288</v>
      </c>
      <c r="F18" s="5">
        <f t="shared" si="29"/>
        <v>0.5052215189873418</v>
      </c>
      <c r="G18" s="5">
        <f t="shared" si="29"/>
        <v>0.53872960557579597</v>
      </c>
      <c r="H18" s="5">
        <f t="shared" si="29"/>
        <v>0.61803460866804272</v>
      </c>
      <c r="I18" s="5">
        <f t="shared" si="29"/>
        <v>0.54757004907392748</v>
      </c>
      <c r="J18" s="5">
        <f t="shared" si="29"/>
        <v>0.5131329113924048</v>
      </c>
      <c r="K18" s="5">
        <f t="shared" si="29"/>
        <v>0.600254210359072</v>
      </c>
      <c r="S18" s="1">
        <f>+S17/S19</f>
        <v>0.54312199966892905</v>
      </c>
      <c r="W18" s="1">
        <f>+W17/W19</f>
        <v>0.61177271180673698</v>
      </c>
      <c r="AE18" s="1">
        <f>+AE17/AE19</f>
        <v>2.6049096804075953</v>
      </c>
      <c r="AF18" s="1">
        <f t="shared" ref="AF18:AL18" si="30">+AF17/AF19</f>
        <v>1.6092994226868469</v>
      </c>
      <c r="AG18" s="1">
        <f t="shared" si="30"/>
        <v>1.7251452803518137</v>
      </c>
      <c r="AH18" s="1">
        <f t="shared" si="30"/>
        <v>1.9109036239911383</v>
      </c>
      <c r="AI18" s="1">
        <f t="shared" si="30"/>
        <v>2.1696768060836491</v>
      </c>
      <c r="AJ18" s="1">
        <f t="shared" si="30"/>
        <v>2.1264017942967004</v>
      </c>
      <c r="AK18" s="1">
        <f t="shared" si="30"/>
        <v>2.1073186741056773</v>
      </c>
      <c r="AL18" s="1">
        <f t="shared" si="30"/>
        <v>2.047722342733191</v>
      </c>
    </row>
    <row r="19" spans="2:38" s="3" customFormat="1" x14ac:dyDescent="0.2">
      <c r="B19" s="3" t="s">
        <v>1</v>
      </c>
      <c r="C19" s="4"/>
      <c r="D19" s="4">
        <v>620.29999999999995</v>
      </c>
      <c r="E19" s="4">
        <v>631</v>
      </c>
      <c r="F19" s="4">
        <v>632</v>
      </c>
      <c r="G19" s="4">
        <v>631.29999999999995</v>
      </c>
      <c r="H19" s="4">
        <v>629.9</v>
      </c>
      <c r="I19" s="4">
        <v>631.70000000000005</v>
      </c>
      <c r="J19" s="4">
        <v>632</v>
      </c>
      <c r="K19" s="4">
        <v>629.4</v>
      </c>
      <c r="L19" s="4"/>
      <c r="M19" s="4"/>
      <c r="N19" s="4"/>
      <c r="S19" s="3">
        <v>604.1</v>
      </c>
      <c r="W19" s="3">
        <v>587.79999999999995</v>
      </c>
      <c r="AE19" s="3">
        <v>215.9</v>
      </c>
      <c r="AF19" s="3">
        <v>640.9</v>
      </c>
      <c r="AG19" s="3">
        <v>636.70000000000005</v>
      </c>
      <c r="AH19" s="3">
        <v>631.9</v>
      </c>
      <c r="AI19" s="3">
        <v>631.20000000000005</v>
      </c>
      <c r="AJ19" s="3">
        <v>624.20000000000005</v>
      </c>
      <c r="AK19" s="3">
        <v>609.4</v>
      </c>
      <c r="AL19" s="3">
        <v>599.29999999999995</v>
      </c>
    </row>
    <row r="21" spans="2:38" x14ac:dyDescent="0.2">
      <c r="B21" s="3" t="s">
        <v>35</v>
      </c>
      <c r="H21" s="8">
        <f>+H7/D7-1</f>
        <v>0.48756756756756747</v>
      </c>
      <c r="I21" s="8">
        <f>+I7/E7-1</f>
        <v>0.14839162065036371</v>
      </c>
      <c r="J21" s="8">
        <f>+J7/F7-1</f>
        <v>0.11580095661659784</v>
      </c>
      <c r="K21" s="8">
        <f>+K7/G7-1</f>
        <v>0.10241657077100119</v>
      </c>
      <c r="W21" s="9">
        <f>+W7/S7-1</f>
        <v>6.2260320324836416E-2</v>
      </c>
      <c r="AE21" s="9">
        <f t="shared" ref="AE21:AJ21" si="31">+AE7/AD7-1</f>
        <v>0.15912541755238396</v>
      </c>
      <c r="AF21" s="9">
        <f t="shared" si="31"/>
        <v>8.3689925188484171E-2</v>
      </c>
      <c r="AG21" s="9">
        <f t="shared" si="31"/>
        <v>0.16793811109917267</v>
      </c>
      <c r="AH21" s="9">
        <f t="shared" si="31"/>
        <v>8.8086476540938374E-3</v>
      </c>
      <c r="AI21" s="9">
        <f t="shared" si="31"/>
        <v>0.19291886099901956</v>
      </c>
      <c r="AJ21" s="9">
        <f t="shared" si="31"/>
        <v>-0.14687052078356422</v>
      </c>
      <c r="AK21" s="9">
        <f t="shared" ref="AK21" si="32">+AK7/AJ7-1</f>
        <v>0.12231182795698925</v>
      </c>
      <c r="AL21" s="9">
        <f>+AL7/AK7-1</f>
        <v>8.5728542914171868E-2</v>
      </c>
    </row>
    <row r="22" spans="2:38" x14ac:dyDescent="0.2">
      <c r="B22" t="s">
        <v>21</v>
      </c>
      <c r="D22" s="8">
        <f t="shared" ref="D22:K22" si="33">D9/D7</f>
        <v>0.74248648648648641</v>
      </c>
      <c r="E22" s="8">
        <f t="shared" si="33"/>
        <v>0.75370321675869933</v>
      </c>
      <c r="F22" s="8">
        <f t="shared" si="33"/>
        <v>0.75136359822102883</v>
      </c>
      <c r="G22" s="8">
        <f t="shared" si="33"/>
        <v>0.75883610060825246</v>
      </c>
      <c r="H22" s="8">
        <f t="shared" si="33"/>
        <v>0.75704941860465125</v>
      </c>
      <c r="I22" s="8">
        <f t="shared" si="33"/>
        <v>0.76209738971149443</v>
      </c>
      <c r="J22" s="8">
        <f t="shared" si="33"/>
        <v>0.767240730991953</v>
      </c>
      <c r="K22" s="8">
        <f t="shared" si="33"/>
        <v>0.77684163435729203</v>
      </c>
      <c r="S22" s="9">
        <f>+S9/S7</f>
        <v>0.78426949394691325</v>
      </c>
      <c r="W22" s="9">
        <f>+W9/W7</f>
        <v>0.78650810504707291</v>
      </c>
    </row>
    <row r="23" spans="2:38" x14ac:dyDescent="0.2">
      <c r="S23" s="9">
        <f>+S13/S7</f>
        <v>0.26911797879539823</v>
      </c>
      <c r="W23" s="9">
        <f>+W13/W7</f>
        <v>0.27663339704112688</v>
      </c>
    </row>
    <row r="26" spans="2:38" s="3" customFormat="1" x14ac:dyDescent="0.2"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S26" s="3">
        <v>-53.5</v>
      </c>
      <c r="W26" s="3">
        <v>280.39999999999998</v>
      </c>
      <c r="AG26" s="3">
        <v>1182.9000000000001</v>
      </c>
      <c r="AH26" s="3">
        <v>1054.3</v>
      </c>
      <c r="AI26" s="3">
        <v>1732.1</v>
      </c>
      <c r="AJ26" s="3">
        <v>1218.2</v>
      </c>
      <c r="AK26" s="3">
        <v>895.8</v>
      </c>
      <c r="AL26" s="3">
        <v>542.29999999999995</v>
      </c>
    </row>
    <row r="27" spans="2:38" s="3" customFormat="1" x14ac:dyDescent="0.2">
      <c r="B27" s="3" t="s">
        <v>49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S27" s="3">
        <v>-65.3</v>
      </c>
      <c r="W27" s="3">
        <v>-56</v>
      </c>
      <c r="AG27" s="3">
        <v>-254.4</v>
      </c>
      <c r="AH27" s="3">
        <v>-407</v>
      </c>
      <c r="AI27" s="3">
        <v>-325.8</v>
      </c>
      <c r="AJ27" s="3">
        <v>-244.6</v>
      </c>
      <c r="AK27" s="3">
        <v>-253</v>
      </c>
      <c r="AL27" s="3">
        <v>-252.4</v>
      </c>
    </row>
    <row r="28" spans="2:38" s="3" customFormat="1" x14ac:dyDescent="0.2">
      <c r="B28" s="3" t="s">
        <v>48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S28" s="3">
        <f>+S26+S27</f>
        <v>-118.8</v>
      </c>
      <c r="W28" s="3">
        <f>+W26+W27</f>
        <v>224.39999999999998</v>
      </c>
      <c r="AG28" s="3">
        <f t="shared" ref="AG28" si="34">+AG26+AG27</f>
        <v>928.50000000000011</v>
      </c>
      <c r="AH28" s="3">
        <f t="shared" ref="AH28" si="35">+AH26+AH27</f>
        <v>647.29999999999995</v>
      </c>
      <c r="AI28" s="3">
        <f t="shared" ref="AI28" si="36">+AI26+AI27</f>
        <v>1406.3</v>
      </c>
      <c r="AJ28" s="3">
        <f t="shared" ref="AJ28:AK28" si="37">+AJ26+AJ27</f>
        <v>973.6</v>
      </c>
      <c r="AK28" s="3">
        <f t="shared" si="37"/>
        <v>642.79999999999995</v>
      </c>
      <c r="AL28" s="3">
        <f>+AL26+AL27</f>
        <v>289.89999999999998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2022-07-22T11:28:48Z</dcterms:created>
  <dcterms:modified xsi:type="dcterms:W3CDTF">2025-10-09T13:32:44Z</dcterms:modified>
</cp:coreProperties>
</file>