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4925D0AD-E39C-40E1-8B1A-91CB9FAB3FCD}" xr6:coauthVersionLast="47" xr6:coauthVersionMax="47" xr10:uidLastSave="{00000000-0000-0000-0000-000000000000}"/>
  <bookViews>
    <workbookView xWindow="2640" yWindow="2640" windowWidth="18075" windowHeight="16020" xr2:uid="{43FD223A-B47F-4F03-ADC1-5FABEC88E596}"/>
  </bookViews>
  <sheets>
    <sheet name="Main" sheetId="1" r:id="rId1"/>
    <sheet name="Model" sheetId="2" r:id="rId2"/>
    <sheet name="Cabomety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9" i="2" l="1"/>
  <c r="AE19" i="2"/>
  <c r="AF19" i="2"/>
  <c r="AG19" i="2"/>
  <c r="AH16" i="2"/>
  <c r="AG16" i="2"/>
  <c r="AH14" i="2"/>
  <c r="AI14" i="2" s="1"/>
  <c r="AJ14" i="2" s="1"/>
  <c r="AK14" i="2" s="1"/>
  <c r="AL14" i="2" s="1"/>
  <c r="AM14" i="2" s="1"/>
  <c r="AN14" i="2" s="1"/>
  <c r="AG14" i="2"/>
  <c r="AH11" i="2"/>
  <c r="AI11" i="2" s="1"/>
  <c r="AG11" i="2"/>
  <c r="AH10" i="2"/>
  <c r="AH12" i="2" s="1"/>
  <c r="AG10" i="2"/>
  <c r="AG12" i="2" s="1"/>
  <c r="AH8" i="2"/>
  <c r="AG8" i="2"/>
  <c r="AH6" i="2"/>
  <c r="AH7" i="2" s="1"/>
  <c r="AH9" i="2" s="1"/>
  <c r="AH13" i="2" s="1"/>
  <c r="AH15" i="2" s="1"/>
  <c r="AH17" i="2" s="1"/>
  <c r="AG6" i="2"/>
  <c r="AG7" i="2" s="1"/>
  <c r="AG9" i="2" s="1"/>
  <c r="AG13" i="2" s="1"/>
  <c r="AG15" i="2" s="1"/>
  <c r="AG17" i="2" s="1"/>
  <c r="AG18" i="2" s="1"/>
  <c r="AH5" i="2"/>
  <c r="AI5" i="2" s="1"/>
  <c r="AJ5" i="2" s="1"/>
  <c r="AK5" i="2" s="1"/>
  <c r="AL5" i="2" s="1"/>
  <c r="AM5" i="2" s="1"/>
  <c r="AN5" i="2" s="1"/>
  <c r="AG5" i="2"/>
  <c r="AH4" i="2"/>
  <c r="AI4" i="2" s="1"/>
  <c r="AJ4" i="2" s="1"/>
  <c r="AK4" i="2" s="1"/>
  <c r="AL4" i="2" s="1"/>
  <c r="AM4" i="2" s="1"/>
  <c r="AN4" i="2" s="1"/>
  <c r="AG4" i="2"/>
  <c r="AF4" i="2"/>
  <c r="AF7" i="2" s="1"/>
  <c r="AF9" i="2" s="1"/>
  <c r="L21" i="2"/>
  <c r="I21" i="2"/>
  <c r="H21" i="2"/>
  <c r="D12" i="2"/>
  <c r="D9" i="2"/>
  <c r="D7" i="2"/>
  <c r="M21" i="2"/>
  <c r="K21" i="2"/>
  <c r="J21" i="2"/>
  <c r="E12" i="2"/>
  <c r="E7" i="2"/>
  <c r="E9" i="2" s="1"/>
  <c r="I12" i="2"/>
  <c r="H12" i="2"/>
  <c r="G12" i="2"/>
  <c r="K12" i="2"/>
  <c r="I7" i="2"/>
  <c r="I9" i="2" s="1"/>
  <c r="H7" i="2"/>
  <c r="H9" i="2" s="1"/>
  <c r="G7" i="2"/>
  <c r="G9" i="2" s="1"/>
  <c r="O21" i="2"/>
  <c r="N21" i="2"/>
  <c r="R21" i="2"/>
  <c r="Q21" i="2"/>
  <c r="P21" i="2"/>
  <c r="S21" i="2"/>
  <c r="L12" i="2"/>
  <c r="M12" i="2"/>
  <c r="N12" i="2"/>
  <c r="R12" i="2"/>
  <c r="Q12" i="2"/>
  <c r="P12" i="2"/>
  <c r="O12" i="2"/>
  <c r="S12" i="2"/>
  <c r="S9" i="2"/>
  <c r="S13" i="2" s="1"/>
  <c r="S15" i="2" s="1"/>
  <c r="S17" i="2" s="1"/>
  <c r="S18" i="2" s="1"/>
  <c r="S7" i="2"/>
  <c r="R7" i="2"/>
  <c r="R9" i="2" s="1"/>
  <c r="Q7" i="2"/>
  <c r="Q9" i="2" s="1"/>
  <c r="P7" i="2"/>
  <c r="P9" i="2" s="1"/>
  <c r="O7" i="2"/>
  <c r="O9" i="2" s="1"/>
  <c r="N7" i="2"/>
  <c r="N9" i="2" s="1"/>
  <c r="M7" i="2"/>
  <c r="M9" i="2" s="1"/>
  <c r="L7" i="2"/>
  <c r="L9" i="2" s="1"/>
  <c r="K7" i="2"/>
  <c r="K9" i="2" s="1"/>
  <c r="M5" i="1"/>
  <c r="J14" i="2"/>
  <c r="J12" i="2"/>
  <c r="J7" i="2"/>
  <c r="J9" i="2" s="1"/>
  <c r="F14" i="2"/>
  <c r="F12" i="2"/>
  <c r="F7" i="2"/>
  <c r="F9" i="2" s="1"/>
  <c r="AE12" i="2"/>
  <c r="AD12" i="2"/>
  <c r="AF12" i="2"/>
  <c r="AE7" i="2"/>
  <c r="AE9" i="2" s="1"/>
  <c r="AD7" i="2"/>
  <c r="AD9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M4" i="1"/>
  <c r="AI12" i="2" l="1"/>
  <c r="AJ11" i="2"/>
  <c r="K13" i="2"/>
  <c r="K15" i="2" s="1"/>
  <c r="K17" i="2" s="1"/>
  <c r="K18" i="2" s="1"/>
  <c r="D13" i="2"/>
  <c r="D15" i="2" s="1"/>
  <c r="D17" i="2" s="1"/>
  <c r="D18" i="2" s="1"/>
  <c r="AF13" i="2"/>
  <c r="AF15" i="2" s="1"/>
  <c r="AF17" i="2" s="1"/>
  <c r="AF18" i="2" s="1"/>
  <c r="AH18" i="2"/>
  <c r="E13" i="2"/>
  <c r="E15" i="2" s="1"/>
  <c r="E17" i="2" s="1"/>
  <c r="E18" i="2" s="1"/>
  <c r="G13" i="2"/>
  <c r="G15" i="2" s="1"/>
  <c r="G17" i="2" s="1"/>
  <c r="G18" i="2" s="1"/>
  <c r="AI6" i="2"/>
  <c r="AJ6" i="2" s="1"/>
  <c r="AK6" i="2" s="1"/>
  <c r="AL6" i="2" s="1"/>
  <c r="L13" i="2"/>
  <c r="L15" i="2" s="1"/>
  <c r="L17" i="2" s="1"/>
  <c r="L18" i="2" s="1"/>
  <c r="M13" i="2"/>
  <c r="M15" i="2" s="1"/>
  <c r="M17" i="2" s="1"/>
  <c r="M18" i="2" s="1"/>
  <c r="AI19" i="2"/>
  <c r="AJ19" i="2" s="1"/>
  <c r="AK19" i="2" s="1"/>
  <c r="AL19" i="2" s="1"/>
  <c r="AM19" i="2" s="1"/>
  <c r="AN19" i="2" s="1"/>
  <c r="AK7" i="2"/>
  <c r="AK8" i="2" s="1"/>
  <c r="AK9" i="2" s="1"/>
  <c r="AJ7" i="2"/>
  <c r="AJ8" i="2" s="1"/>
  <c r="AJ9" i="2" s="1"/>
  <c r="H13" i="2"/>
  <c r="H15" i="2" s="1"/>
  <c r="H17" i="2" s="1"/>
  <c r="H18" i="2" s="1"/>
  <c r="I13" i="2"/>
  <c r="I15" i="2" s="1"/>
  <c r="I17" i="2" s="1"/>
  <c r="I18" i="2" s="1"/>
  <c r="P13" i="2"/>
  <c r="P15" i="2" s="1"/>
  <c r="P17" i="2" s="1"/>
  <c r="P18" i="2" s="1"/>
  <c r="N13" i="2"/>
  <c r="N15" i="2" s="1"/>
  <c r="N17" i="2" s="1"/>
  <c r="N18" i="2" s="1"/>
  <c r="O13" i="2"/>
  <c r="O15" i="2" s="1"/>
  <c r="O17" i="2" s="1"/>
  <c r="O18" i="2" s="1"/>
  <c r="Q13" i="2"/>
  <c r="Q15" i="2" s="1"/>
  <c r="Q17" i="2" s="1"/>
  <c r="Q18" i="2" s="1"/>
  <c r="R13" i="2"/>
  <c r="R15" i="2" s="1"/>
  <c r="R17" i="2" s="1"/>
  <c r="R18" i="2" s="1"/>
  <c r="J13" i="2"/>
  <c r="J15" i="2" s="1"/>
  <c r="J17" i="2" s="1"/>
  <c r="J18" i="2" s="1"/>
  <c r="F13" i="2"/>
  <c r="F15" i="2" s="1"/>
  <c r="F17" i="2" s="1"/>
  <c r="F18" i="2" s="1"/>
  <c r="M7" i="1"/>
  <c r="AE13" i="2"/>
  <c r="AE15" i="2" s="1"/>
  <c r="AE17" i="2" s="1"/>
  <c r="AE18" i="2" s="1"/>
  <c r="AD13" i="2"/>
  <c r="AD15" i="2" s="1"/>
  <c r="AD17" i="2" s="1"/>
  <c r="AD18" i="2" s="1"/>
  <c r="AI7" i="2" l="1"/>
  <c r="AJ12" i="2"/>
  <c r="AJ13" i="2" s="1"/>
  <c r="AJ15" i="2" s="1"/>
  <c r="AJ16" i="2" s="1"/>
  <c r="AJ17" i="2" s="1"/>
  <c r="AJ18" i="2" s="1"/>
  <c r="AK11" i="2"/>
  <c r="AL7" i="2"/>
  <c r="AM6" i="2"/>
  <c r="AI8" i="2"/>
  <c r="AI9" i="2" s="1"/>
  <c r="AI13" i="2" s="1"/>
  <c r="AI15" i="2" s="1"/>
  <c r="AL11" i="2" l="1"/>
  <c r="AK12" i="2"/>
  <c r="AK13" i="2" s="1"/>
  <c r="AK15" i="2" s="1"/>
  <c r="AK16" i="2" s="1"/>
  <c r="AK17" i="2" s="1"/>
  <c r="AK18" i="2" s="1"/>
  <c r="AM7" i="2"/>
  <c r="AN6" i="2"/>
  <c r="AN7" i="2" s="1"/>
  <c r="AL8" i="2"/>
  <c r="AL9" i="2" s="1"/>
  <c r="AI16" i="2"/>
  <c r="AI17" i="2"/>
  <c r="AI18" i="2" s="1"/>
  <c r="AM11" i="2" l="1"/>
  <c r="AL12" i="2"/>
  <c r="AL13" i="2" s="1"/>
  <c r="AL15" i="2" s="1"/>
  <c r="AL16" i="2" s="1"/>
  <c r="AL17" i="2" s="1"/>
  <c r="AL18" i="2" s="1"/>
  <c r="AN8" i="2"/>
  <c r="AN9" i="2" s="1"/>
  <c r="AM8" i="2"/>
  <c r="AM9" i="2" s="1"/>
  <c r="AM12" i="2" l="1"/>
  <c r="AM13" i="2" s="1"/>
  <c r="AM15" i="2" s="1"/>
  <c r="AM16" i="2" s="1"/>
  <c r="AM17" i="2" s="1"/>
  <c r="AM18" i="2" s="1"/>
  <c r="AN11" i="2"/>
  <c r="AN12" i="2" s="1"/>
  <c r="AN13" i="2" s="1"/>
  <c r="AN15" i="2" s="1"/>
  <c r="AN16" i="2" s="1"/>
  <c r="AN17" i="2" s="1"/>
  <c r="AN18" i="2" s="1"/>
</calcChain>
</file>

<file path=xl/sharedStrings.xml><?xml version="1.0" encoding="utf-8"?>
<sst xmlns="http://schemas.openxmlformats.org/spreadsheetml/2006/main" count="84" uniqueCount="75">
  <si>
    <t>Price</t>
  </si>
  <si>
    <t>Shares</t>
  </si>
  <si>
    <t>MC</t>
  </si>
  <si>
    <t>Cash</t>
  </si>
  <si>
    <t>Debt</t>
  </si>
  <si>
    <t>EV</t>
  </si>
  <si>
    <t>Q422</t>
  </si>
  <si>
    <t>Main</t>
  </si>
  <si>
    <t>Revenue</t>
  </si>
  <si>
    <t>Q122</t>
  </si>
  <si>
    <t>Q121</t>
  </si>
  <si>
    <t>Q221</t>
  </si>
  <si>
    <t>Q321</t>
  </si>
  <si>
    <t>Q421</t>
  </si>
  <si>
    <t>Q222</t>
  </si>
  <si>
    <t>Q322</t>
  </si>
  <si>
    <t>Q123</t>
  </si>
  <si>
    <t>Q223</t>
  </si>
  <si>
    <t>Q323</t>
  </si>
  <si>
    <t>Q423</t>
  </si>
  <si>
    <t>Product</t>
  </si>
  <si>
    <t>License</t>
  </si>
  <si>
    <t>Services</t>
  </si>
  <si>
    <t>COGS</t>
  </si>
  <si>
    <t>Gross Profit</t>
  </si>
  <si>
    <t>Operating Expenses</t>
  </si>
  <si>
    <t>Operating Income</t>
  </si>
  <si>
    <t>R&amp;D</t>
  </si>
  <si>
    <t>SG&amp;A</t>
  </si>
  <si>
    <t>Brand</t>
  </si>
  <si>
    <t>Cabometyx (cabozantinib)</t>
  </si>
  <si>
    <t>Indication</t>
  </si>
  <si>
    <t>Name</t>
  </si>
  <si>
    <t>Cometriq (cabozantinib)</t>
  </si>
  <si>
    <t>RCC</t>
  </si>
  <si>
    <t>Economics</t>
  </si>
  <si>
    <t>zanzalintinib</t>
  </si>
  <si>
    <t>ADU-1805</t>
  </si>
  <si>
    <t>Net Income</t>
  </si>
  <si>
    <t>EPS</t>
  </si>
  <si>
    <t>Interest Income</t>
  </si>
  <si>
    <t>Pretax</t>
  </si>
  <si>
    <t>Taxes</t>
  </si>
  <si>
    <t>CEO</t>
  </si>
  <si>
    <t>Michael Morrissey</t>
  </si>
  <si>
    <t>XB002</t>
  </si>
  <si>
    <t>MOA</t>
  </si>
  <si>
    <t>TKI</t>
  </si>
  <si>
    <t>TF ADC</t>
  </si>
  <si>
    <t>XL102</t>
  </si>
  <si>
    <t>CDK7</t>
  </si>
  <si>
    <t>XB010</t>
  </si>
  <si>
    <t>XB628</t>
  </si>
  <si>
    <t>XB014</t>
  </si>
  <si>
    <t>Cabo</t>
  </si>
  <si>
    <t>Cabometyx</t>
  </si>
  <si>
    <t>Generic</t>
  </si>
  <si>
    <t>cabozantinib</t>
  </si>
  <si>
    <t>Phase</t>
  </si>
  <si>
    <t>Approved</t>
  </si>
  <si>
    <t>CBX-12 (exetecan)</t>
  </si>
  <si>
    <t>SIRPalpha</t>
  </si>
  <si>
    <t>Topo</t>
  </si>
  <si>
    <t>IP</t>
  </si>
  <si>
    <t>8877776 lost against MSN (N-2 polymorph)</t>
  </si>
  <si>
    <t>7759473 won against MSN, making 8/14/26 earliest generic date</t>
  </si>
  <si>
    <t>Q224</t>
  </si>
  <si>
    <t>Q125</t>
  </si>
  <si>
    <t>Q124</t>
  </si>
  <si>
    <t>Q324</t>
  </si>
  <si>
    <t>Q424</t>
  </si>
  <si>
    <t>Q225</t>
  </si>
  <si>
    <t>Q325</t>
  </si>
  <si>
    <t>Q425</t>
  </si>
  <si>
    <t>Product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</si>
</sst>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" fontId="0" fillId="0" borderId="0" xfId="0" applyNumberFormat="1" applyAlignment="1">
      <alignment horizontal="right"/>
    </xf>
    <xf numFmtId="0" fontId="2" fillId="0" borderId="1" xfId="1" applyBorder="1"/>
    <xf numFmtId="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6DF4BCC-C2E4-489A-8B3C-67F7BF898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13138</xdr:colOff>
      <xdr:row>0</xdr:row>
      <xdr:rowOff>35034</xdr:rowOff>
    </xdr:from>
    <xdr:to>
      <xdr:col>19</xdr:col>
      <xdr:colOff>13138</xdr:colOff>
      <xdr:row>40</xdr:row>
      <xdr:rowOff>30655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407722E-280C-E2F5-12DD-7058599B91F4}"/>
            </a:ext>
          </a:extLst>
        </xdr:cNvPr>
        <xdr:cNvCxnSpPr/>
      </xdr:nvCxnSpPr>
      <xdr:spPr>
        <a:xfrm>
          <a:off x="14942207" y="35034"/>
          <a:ext cx="0" cy="6310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39076</xdr:colOff>
      <xdr:row>0</xdr:row>
      <xdr:rowOff>68385</xdr:rowOff>
    </xdr:from>
    <xdr:to>
      <xdr:col>34</xdr:col>
      <xdr:colOff>39076</xdr:colOff>
      <xdr:row>43</xdr:row>
      <xdr:rowOff>87923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FFDBBFF-631A-F182-5064-36C65F19DAEA}"/>
            </a:ext>
          </a:extLst>
        </xdr:cNvPr>
        <xdr:cNvCxnSpPr/>
      </xdr:nvCxnSpPr>
      <xdr:spPr>
        <a:xfrm>
          <a:off x="24149538" y="68385"/>
          <a:ext cx="0" cy="69556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9232-A2EF-4F15-B8B8-1076744E9B83}">
  <dimension ref="B2:N13"/>
  <sheetViews>
    <sheetView tabSelected="1" zoomScaleNormal="100" workbookViewId="0">
      <selection activeCell="B3" sqref="B3"/>
    </sheetView>
  </sheetViews>
  <sheetFormatPr defaultRowHeight="12.75" x14ac:dyDescent="0.2"/>
  <cols>
    <col min="1" max="1" width="3.5703125" customWidth="1"/>
    <col min="2" max="2" width="23" bestFit="1" customWidth="1"/>
    <col min="4" max="4" width="10.42578125" customWidth="1"/>
    <col min="5" max="5" width="10.7109375" customWidth="1"/>
    <col min="10" max="11" width="7.140625" customWidth="1"/>
  </cols>
  <sheetData>
    <row r="2" spans="2:14" x14ac:dyDescent="0.2">
      <c r="B2" s="12" t="s">
        <v>32</v>
      </c>
      <c r="C2" s="13" t="s">
        <v>31</v>
      </c>
      <c r="D2" s="13" t="s">
        <v>35</v>
      </c>
      <c r="E2" s="13" t="s">
        <v>46</v>
      </c>
      <c r="F2" s="13" t="s">
        <v>59</v>
      </c>
      <c r="G2" s="13"/>
      <c r="H2" s="13"/>
      <c r="I2" s="14"/>
      <c r="L2" t="s">
        <v>0</v>
      </c>
      <c r="M2">
        <v>42.57</v>
      </c>
    </row>
    <row r="3" spans="2:14" x14ac:dyDescent="0.2">
      <c r="B3" s="16" t="s">
        <v>30</v>
      </c>
      <c r="C3" t="s">
        <v>34</v>
      </c>
      <c r="E3" t="s">
        <v>47</v>
      </c>
      <c r="I3" s="8"/>
      <c r="L3" t="s">
        <v>1</v>
      </c>
      <c r="M3" s="1">
        <v>272.70828</v>
      </c>
      <c r="N3" s="2" t="s">
        <v>67</v>
      </c>
    </row>
    <row r="4" spans="2:14" x14ac:dyDescent="0.2">
      <c r="B4" s="7" t="s">
        <v>33</v>
      </c>
      <c r="E4" t="s">
        <v>47</v>
      </c>
      <c r="I4" s="8"/>
      <c r="L4" t="s">
        <v>2</v>
      </c>
      <c r="M4" s="1">
        <f>+M2*M3</f>
        <v>11609.1914796</v>
      </c>
    </row>
    <row r="5" spans="2:14" x14ac:dyDescent="0.2">
      <c r="B5" s="12"/>
      <c r="C5" s="13"/>
      <c r="D5" s="13"/>
      <c r="E5" s="13"/>
      <c r="F5" s="13" t="s">
        <v>58</v>
      </c>
      <c r="G5" s="13"/>
      <c r="H5" s="13"/>
      <c r="I5" s="14"/>
      <c r="L5" t="s">
        <v>3</v>
      </c>
      <c r="M5" s="1">
        <f>183.752+847.564+619.441</f>
        <v>1650.7570000000001</v>
      </c>
      <c r="N5" s="2" t="s">
        <v>67</v>
      </c>
    </row>
    <row r="6" spans="2:14" x14ac:dyDescent="0.2">
      <c r="B6" s="7" t="s">
        <v>36</v>
      </c>
      <c r="E6" t="s">
        <v>47</v>
      </c>
      <c r="I6" s="8"/>
      <c r="L6" t="s">
        <v>4</v>
      </c>
      <c r="M6" s="1">
        <v>0</v>
      </c>
      <c r="N6" s="2" t="s">
        <v>67</v>
      </c>
    </row>
    <row r="7" spans="2:14" x14ac:dyDescent="0.2">
      <c r="B7" s="7" t="s">
        <v>60</v>
      </c>
      <c r="E7" t="s">
        <v>62</v>
      </c>
      <c r="I7" s="8"/>
      <c r="L7" t="s">
        <v>5</v>
      </c>
      <c r="M7" s="1">
        <f>+M4-M5+M6</f>
        <v>9958.4344796000005</v>
      </c>
    </row>
    <row r="8" spans="2:14" x14ac:dyDescent="0.2">
      <c r="B8" s="7" t="s">
        <v>37</v>
      </c>
      <c r="E8" t="s">
        <v>61</v>
      </c>
      <c r="I8" s="8"/>
    </row>
    <row r="9" spans="2:14" x14ac:dyDescent="0.2">
      <c r="B9" s="7" t="s">
        <v>45</v>
      </c>
      <c r="E9" t="s">
        <v>48</v>
      </c>
      <c r="I9" s="8"/>
    </row>
    <row r="10" spans="2:14" x14ac:dyDescent="0.2">
      <c r="B10" s="7" t="s">
        <v>49</v>
      </c>
      <c r="E10" t="s">
        <v>50</v>
      </c>
      <c r="I10" s="8"/>
      <c r="L10" t="s">
        <v>43</v>
      </c>
      <c r="M10" t="s">
        <v>44</v>
      </c>
    </row>
    <row r="11" spans="2:14" x14ac:dyDescent="0.2">
      <c r="B11" s="7" t="s">
        <v>51</v>
      </c>
      <c r="I11" s="8"/>
    </row>
    <row r="12" spans="2:14" x14ac:dyDescent="0.2">
      <c r="B12" s="7" t="s">
        <v>53</v>
      </c>
      <c r="I12" s="8"/>
    </row>
    <row r="13" spans="2:14" x14ac:dyDescent="0.2">
      <c r="B13" s="9" t="s">
        <v>52</v>
      </c>
      <c r="C13" s="10"/>
      <c r="D13" s="10"/>
      <c r="E13" s="10"/>
      <c r="F13" s="10"/>
      <c r="G13" s="10"/>
      <c r="H13" s="10"/>
      <c r="I13" s="11"/>
    </row>
  </sheetData>
  <hyperlinks>
    <hyperlink ref="B3" location="Cabometyx!A1" display="Cabometyx (cabozantinib)" xr:uid="{21C06DCF-97D6-42AC-917C-4098F9F714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C34A-15ED-4C14-8965-81604B05A16F}">
  <dimension ref="A1:AX22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2" sqref="I32"/>
    </sheetView>
  </sheetViews>
  <sheetFormatPr defaultRowHeight="12.75" x14ac:dyDescent="0.2"/>
  <cols>
    <col min="1" max="1" width="5" bestFit="1" customWidth="1"/>
    <col min="2" max="2" width="19.5703125" customWidth="1"/>
    <col min="3" max="12" width="9.140625" style="2"/>
  </cols>
  <sheetData>
    <row r="1" spans="1:50" x14ac:dyDescent="0.2">
      <c r="A1" s="3" t="s">
        <v>7</v>
      </c>
    </row>
    <row r="2" spans="1:50" x14ac:dyDescent="0.2">
      <c r="C2" s="2" t="s">
        <v>10</v>
      </c>
      <c r="D2" s="2" t="s">
        <v>11</v>
      </c>
      <c r="E2" s="2" t="s">
        <v>12</v>
      </c>
      <c r="F2" s="2" t="s">
        <v>13</v>
      </c>
      <c r="G2" s="2" t="s">
        <v>9</v>
      </c>
      <c r="H2" s="2" t="s">
        <v>14</v>
      </c>
      <c r="I2" s="2" t="s">
        <v>15</v>
      </c>
      <c r="J2" s="2" t="s">
        <v>6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68</v>
      </c>
      <c r="P2" s="2" t="s">
        <v>66</v>
      </c>
      <c r="Q2" s="2" t="s">
        <v>69</v>
      </c>
      <c r="R2" s="2" t="s">
        <v>70</v>
      </c>
      <c r="S2" s="2" t="s">
        <v>67</v>
      </c>
      <c r="T2" s="2" t="s">
        <v>71</v>
      </c>
      <c r="U2" s="2" t="s">
        <v>72</v>
      </c>
      <c r="V2" s="2" t="s">
        <v>73</v>
      </c>
      <c r="Y2">
        <v>2015</v>
      </c>
      <c r="Z2">
        <f>+Y2+1</f>
        <v>2016</v>
      </c>
      <c r="AA2">
        <f t="shared" ref="AA2:AX2" si="0">+Z2+1</f>
        <v>2017</v>
      </c>
      <c r="AB2">
        <f t="shared" si="0"/>
        <v>2018</v>
      </c>
      <c r="AC2">
        <f t="shared" si="0"/>
        <v>2019</v>
      </c>
      <c r="AD2">
        <f t="shared" si="0"/>
        <v>2020</v>
      </c>
      <c r="AE2">
        <f t="shared" si="0"/>
        <v>2021</v>
      </c>
      <c r="AF2">
        <f t="shared" si="0"/>
        <v>2022</v>
      </c>
      <c r="AG2">
        <f t="shared" si="0"/>
        <v>2023</v>
      </c>
      <c r="AH2">
        <f t="shared" si="0"/>
        <v>2024</v>
      </c>
      <c r="AI2">
        <f t="shared" si="0"/>
        <v>2025</v>
      </c>
      <c r="AJ2">
        <f t="shared" si="0"/>
        <v>2026</v>
      </c>
      <c r="AK2">
        <f t="shared" si="0"/>
        <v>2027</v>
      </c>
      <c r="AL2">
        <f t="shared" si="0"/>
        <v>2028</v>
      </c>
      <c r="AM2">
        <f t="shared" si="0"/>
        <v>2029</v>
      </c>
      <c r="AN2">
        <f t="shared" si="0"/>
        <v>2030</v>
      </c>
      <c r="AO2">
        <f t="shared" si="0"/>
        <v>2031</v>
      </c>
      <c r="AP2">
        <f t="shared" si="0"/>
        <v>2032</v>
      </c>
      <c r="AQ2">
        <f t="shared" si="0"/>
        <v>2033</v>
      </c>
      <c r="AR2">
        <f t="shared" si="0"/>
        <v>2034</v>
      </c>
      <c r="AS2">
        <f t="shared" si="0"/>
        <v>2035</v>
      </c>
      <c r="AT2">
        <f t="shared" si="0"/>
        <v>2036</v>
      </c>
      <c r="AU2">
        <f t="shared" si="0"/>
        <v>2037</v>
      </c>
      <c r="AV2">
        <f t="shared" si="0"/>
        <v>2038</v>
      </c>
      <c r="AW2">
        <f t="shared" si="0"/>
        <v>2039</v>
      </c>
      <c r="AX2">
        <f t="shared" si="0"/>
        <v>2040</v>
      </c>
    </row>
    <row r="3" spans="1:50" x14ac:dyDescent="0.2">
      <c r="B3" t="s">
        <v>54</v>
      </c>
      <c r="J3" s="4">
        <v>377.4</v>
      </c>
      <c r="M3" s="2"/>
      <c r="N3" s="2"/>
      <c r="O3" s="2"/>
      <c r="P3" s="2"/>
      <c r="Q3" s="2"/>
      <c r="R3" s="2"/>
    </row>
    <row r="4" spans="1:50" s="1" customFormat="1" x14ac:dyDescent="0.2">
      <c r="B4" s="1" t="s">
        <v>20</v>
      </c>
      <c r="C4" s="4"/>
      <c r="D4" s="4">
        <v>284.24799999999999</v>
      </c>
      <c r="E4" s="4">
        <v>263.11700000000002</v>
      </c>
      <c r="F4" s="4">
        <v>302.67899999999997</v>
      </c>
      <c r="G4" s="4">
        <v>310.298</v>
      </c>
      <c r="H4" s="4">
        <v>347.04399999999998</v>
      </c>
      <c r="I4" s="4">
        <v>366.48200000000003</v>
      </c>
      <c r="J4" s="4">
        <v>377.41899999999998</v>
      </c>
      <c r="K4" s="4">
        <v>363.4</v>
      </c>
      <c r="L4" s="4">
        <v>409.64600000000002</v>
      </c>
      <c r="M4" s="1">
        <v>426.49700000000001</v>
      </c>
      <c r="N4" s="1">
        <v>429.33600000000001</v>
      </c>
      <c r="O4" s="1">
        <v>378.5</v>
      </c>
      <c r="P4" s="1">
        <v>437.58100000000002</v>
      </c>
      <c r="Q4" s="1">
        <v>478.05900000000003</v>
      </c>
      <c r="R4" s="1">
        <v>515.23199999999997</v>
      </c>
      <c r="S4" s="1">
        <v>513.29999999999995</v>
      </c>
      <c r="AD4" s="1">
        <v>741.55</v>
      </c>
      <c r="AE4" s="1">
        <v>1077.2560000000001</v>
      </c>
      <c r="AF4" s="1">
        <f>SUM(G4:J4)</f>
        <v>1401.2429999999999</v>
      </c>
      <c r="AG4" s="1">
        <f>SUM(K4:N4)</f>
        <v>1628.8790000000001</v>
      </c>
      <c r="AH4" s="1">
        <f>SUM(O4:R4)</f>
        <v>1809.3720000000001</v>
      </c>
      <c r="AI4" s="1">
        <f>+AH4*1.2</f>
        <v>2171.2464</v>
      </c>
      <c r="AJ4" s="1">
        <f>+AI4*1.05</f>
        <v>2279.80872</v>
      </c>
      <c r="AK4" s="1">
        <f t="shared" ref="AK4:AN4" si="1">+AJ4*1.05</f>
        <v>2393.799156</v>
      </c>
      <c r="AL4" s="1">
        <f t="shared" si="1"/>
        <v>2513.4891138000003</v>
      </c>
      <c r="AM4" s="1">
        <f t="shared" si="1"/>
        <v>2639.1635694900006</v>
      </c>
      <c r="AN4" s="1">
        <f t="shared" si="1"/>
        <v>2771.1217479645006</v>
      </c>
    </row>
    <row r="5" spans="1:50" s="1" customFormat="1" x14ac:dyDescent="0.2">
      <c r="B5" s="1" t="s">
        <v>21</v>
      </c>
      <c r="C5" s="4"/>
      <c r="D5" s="4">
        <v>39.64</v>
      </c>
      <c r="E5" s="4">
        <v>49.694000000000003</v>
      </c>
      <c r="F5" s="4">
        <v>133.09399999999999</v>
      </c>
      <c r="G5" s="4">
        <v>32.067</v>
      </c>
      <c r="H5" s="4">
        <v>57.526000000000003</v>
      </c>
      <c r="I5" s="4">
        <v>34.384</v>
      </c>
      <c r="J5" s="4">
        <v>38.079000000000001</v>
      </c>
      <c r="K5" s="4">
        <v>38.292000000000002</v>
      </c>
      <c r="L5" s="4">
        <v>7.4550000000000001</v>
      </c>
      <c r="M5" s="1">
        <v>3.056</v>
      </c>
      <c r="N5" s="1">
        <v>5.0869999999999997</v>
      </c>
      <c r="P5" s="1">
        <v>4.6109999999999998</v>
      </c>
      <c r="Q5" s="1">
        <v>1.244</v>
      </c>
      <c r="R5" s="1">
        <v>2.1800000000000002</v>
      </c>
      <c r="AD5" s="1">
        <v>167.29499999999999</v>
      </c>
      <c r="AE5" s="1">
        <v>249.95599999999999</v>
      </c>
      <c r="AF5" s="1">
        <v>162.05600000000001</v>
      </c>
      <c r="AG5" s="1">
        <f t="shared" ref="AG5:AG6" si="2">SUM(K5:N5)</f>
        <v>53.89</v>
      </c>
      <c r="AH5" s="1">
        <f t="shared" ref="AH5:AH6" si="3">SUM(O5:R5)</f>
        <v>8.0350000000000001</v>
      </c>
      <c r="AI5" s="1">
        <f>+AH5*1.3</f>
        <v>10.445500000000001</v>
      </c>
      <c r="AJ5" s="1">
        <f t="shared" ref="AJ5:AN6" si="4">+AI5*1.3</f>
        <v>13.579150000000002</v>
      </c>
      <c r="AK5" s="1">
        <f t="shared" si="4"/>
        <v>17.652895000000004</v>
      </c>
      <c r="AL5" s="1">
        <f t="shared" si="4"/>
        <v>22.948763500000005</v>
      </c>
      <c r="AM5" s="1">
        <f t="shared" si="4"/>
        <v>29.833392550000006</v>
      </c>
      <c r="AN5" s="1">
        <f t="shared" si="4"/>
        <v>38.783410315000012</v>
      </c>
    </row>
    <row r="6" spans="1:50" s="1" customFormat="1" x14ac:dyDescent="0.2">
      <c r="B6" s="1" t="s">
        <v>22</v>
      </c>
      <c r="C6" s="4"/>
      <c r="D6" s="4">
        <v>61.829000000000001</v>
      </c>
      <c r="E6" s="4">
        <v>15.612</v>
      </c>
      <c r="F6" s="4">
        <v>15.367000000000001</v>
      </c>
      <c r="G6" s="4">
        <v>13.615</v>
      </c>
      <c r="H6" s="4">
        <v>14.856999999999999</v>
      </c>
      <c r="I6" s="4">
        <v>10.872</v>
      </c>
      <c r="J6" s="4">
        <v>8.4190000000000005</v>
      </c>
      <c r="K6" s="4">
        <v>7.0960000000000001</v>
      </c>
      <c r="L6" s="4">
        <v>52.747</v>
      </c>
      <c r="M6" s="1">
        <v>42.366999999999997</v>
      </c>
      <c r="N6" s="1">
        <v>45.228999999999999</v>
      </c>
      <c r="O6" s="1">
        <v>46.703000000000003</v>
      </c>
      <c r="P6" s="1">
        <v>194.98599999999999</v>
      </c>
      <c r="Q6" s="1">
        <v>60.238999999999997</v>
      </c>
      <c r="R6" s="1">
        <v>49.343000000000004</v>
      </c>
      <c r="S6" s="1">
        <v>42.164000000000001</v>
      </c>
      <c r="AD6" s="1">
        <v>78.692999999999998</v>
      </c>
      <c r="AE6" s="1">
        <v>107.758</v>
      </c>
      <c r="AF6" s="1">
        <v>47.762999999999998</v>
      </c>
      <c r="AG6" s="1">
        <f t="shared" si="2"/>
        <v>147.43900000000002</v>
      </c>
      <c r="AH6" s="1">
        <f t="shared" si="3"/>
        <v>351.27100000000002</v>
      </c>
      <c r="AI6" s="1">
        <f>+AH6*1.3</f>
        <v>456.65230000000003</v>
      </c>
      <c r="AJ6" s="1">
        <f t="shared" si="4"/>
        <v>593.64799000000005</v>
      </c>
      <c r="AK6" s="1">
        <f t="shared" si="4"/>
        <v>771.74238700000012</v>
      </c>
      <c r="AL6" s="1">
        <f t="shared" si="4"/>
        <v>1003.2651031000001</v>
      </c>
      <c r="AM6" s="1">
        <f t="shared" si="4"/>
        <v>1304.2446340300003</v>
      </c>
      <c r="AN6" s="1">
        <f t="shared" si="4"/>
        <v>1695.5180242390004</v>
      </c>
    </row>
    <row r="7" spans="1:50" s="5" customFormat="1" x14ac:dyDescent="0.2">
      <c r="B7" s="5" t="s">
        <v>8</v>
      </c>
      <c r="C7" s="6"/>
      <c r="D7" s="6">
        <f>+D4+D5+D6</f>
        <v>385.71699999999998</v>
      </c>
      <c r="E7" s="6">
        <f>+E4+E5+E6</f>
        <v>328.42300000000006</v>
      </c>
      <c r="F7" s="6">
        <f>+F4+F5+F6</f>
        <v>451.14</v>
      </c>
      <c r="G7" s="6">
        <f t="shared" ref="G7:I7" si="5">+G4+G5+G6</f>
        <v>355.98</v>
      </c>
      <c r="H7" s="6">
        <f t="shared" si="5"/>
        <v>419.42700000000002</v>
      </c>
      <c r="I7" s="6">
        <f t="shared" si="5"/>
        <v>411.73800000000006</v>
      </c>
      <c r="J7" s="6">
        <f t="shared" ref="J7:S7" si="6">+J4+J5+J6</f>
        <v>423.91699999999997</v>
      </c>
      <c r="K7" s="6">
        <f t="shared" si="6"/>
        <v>408.78800000000001</v>
      </c>
      <c r="L7" s="6">
        <f t="shared" si="6"/>
        <v>469.84800000000001</v>
      </c>
      <c r="M7" s="6">
        <f t="shared" si="6"/>
        <v>471.92</v>
      </c>
      <c r="N7" s="6">
        <f t="shared" si="6"/>
        <v>479.65199999999999</v>
      </c>
      <c r="O7" s="6">
        <f t="shared" si="6"/>
        <v>425.20299999999997</v>
      </c>
      <c r="P7" s="6">
        <f t="shared" si="6"/>
        <v>637.178</v>
      </c>
      <c r="Q7" s="6">
        <f t="shared" si="6"/>
        <v>539.54200000000003</v>
      </c>
      <c r="R7" s="6">
        <f t="shared" si="6"/>
        <v>566.75499999999988</v>
      </c>
      <c r="S7" s="6">
        <f t="shared" si="6"/>
        <v>555.46399999999994</v>
      </c>
      <c r="AD7" s="5">
        <f t="shared" ref="AD7:AI7" si="7">+AD6+AD5+AD4</f>
        <v>987.53800000000001</v>
      </c>
      <c r="AE7" s="5">
        <f t="shared" si="7"/>
        <v>1434.97</v>
      </c>
      <c r="AF7" s="5">
        <f t="shared" si="7"/>
        <v>1611.0619999999999</v>
      </c>
      <c r="AG7" s="5">
        <f t="shared" si="7"/>
        <v>1830.2080000000001</v>
      </c>
      <c r="AH7" s="5">
        <f t="shared" si="7"/>
        <v>2168.6779999999999</v>
      </c>
      <c r="AI7" s="5">
        <f t="shared" si="7"/>
        <v>2638.3442</v>
      </c>
      <c r="AJ7" s="5">
        <f t="shared" ref="AJ7" si="8">+AJ6+AJ5+AJ4</f>
        <v>2887.03586</v>
      </c>
      <c r="AK7" s="5">
        <f t="shared" ref="AK7" si="9">+AK6+AK5+AK4</f>
        <v>3183.1944380000004</v>
      </c>
      <c r="AL7" s="5">
        <f t="shared" ref="AL7" si="10">+AL6+AL5+AL4</f>
        <v>3539.7029804000003</v>
      </c>
      <c r="AM7" s="5">
        <f t="shared" ref="AM7" si="11">+AM6+AM5+AM4</f>
        <v>3973.2415960700009</v>
      </c>
      <c r="AN7" s="5">
        <f t="shared" ref="AN7" si="12">+AN6+AN5+AN4</f>
        <v>4505.4231825185016</v>
      </c>
    </row>
    <row r="8" spans="1:50" s="1" customFormat="1" x14ac:dyDescent="0.2">
      <c r="B8" s="1" t="s">
        <v>23</v>
      </c>
      <c r="C8" s="4"/>
      <c r="D8" s="4">
        <v>14.884</v>
      </c>
      <c r="E8" s="4">
        <v>11.874000000000001</v>
      </c>
      <c r="F8" s="4">
        <v>12.917</v>
      </c>
      <c r="G8" s="4">
        <v>13.202999999999999</v>
      </c>
      <c r="H8" s="4">
        <v>13.481</v>
      </c>
      <c r="I8" s="4">
        <v>15.305</v>
      </c>
      <c r="J8" s="4">
        <v>15.92</v>
      </c>
      <c r="K8" s="4">
        <v>14.315</v>
      </c>
      <c r="L8" s="4">
        <v>17.704999999999998</v>
      </c>
      <c r="M8" s="1">
        <v>18.774000000000001</v>
      </c>
      <c r="N8" s="1">
        <v>21.753</v>
      </c>
      <c r="O8" s="1">
        <v>21.256</v>
      </c>
      <c r="P8" s="1">
        <v>17.667000000000002</v>
      </c>
      <c r="Q8" s="1">
        <v>17.327999999999999</v>
      </c>
      <c r="R8" s="1">
        <v>19.965</v>
      </c>
      <c r="S8" s="1">
        <v>19.172000000000001</v>
      </c>
      <c r="AD8" s="1">
        <v>57.908999999999999</v>
      </c>
      <c r="AE8" s="1">
        <v>52.872999999999998</v>
      </c>
      <c r="AF8" s="1">
        <v>57.908999999999999</v>
      </c>
      <c r="AG8" s="1">
        <f t="shared" ref="AG8" si="13">SUM(K8:N8)</f>
        <v>72.546999999999997</v>
      </c>
      <c r="AH8" s="1">
        <f t="shared" ref="AH8" si="14">SUM(O8:R8)</f>
        <v>76.216000000000008</v>
      </c>
      <c r="AI8" s="1">
        <f>+AI7*0.05</f>
        <v>131.91721000000001</v>
      </c>
      <c r="AJ8" s="1">
        <f t="shared" ref="AJ8" si="15">+AJ7*0.05</f>
        <v>144.35179300000001</v>
      </c>
      <c r="AK8" s="1">
        <f t="shared" ref="AK8" si="16">+AK7*0.05</f>
        <v>159.15972190000002</v>
      </c>
      <c r="AL8" s="1">
        <f t="shared" ref="AL8" si="17">+AL7*0.05</f>
        <v>176.98514902000002</v>
      </c>
      <c r="AM8" s="1">
        <f t="shared" ref="AM8" si="18">+AM7*0.05</f>
        <v>198.66207980350006</v>
      </c>
      <c r="AN8" s="1">
        <f t="shared" ref="AN8" si="19">+AN7*0.05</f>
        <v>225.2711591259251</v>
      </c>
    </row>
    <row r="9" spans="1:50" s="1" customFormat="1" x14ac:dyDescent="0.2">
      <c r="B9" s="1" t="s">
        <v>24</v>
      </c>
      <c r="C9" s="4"/>
      <c r="D9" s="4">
        <f>+D7-D8</f>
        <v>370.83299999999997</v>
      </c>
      <c r="E9" s="4">
        <f>+E7-E8</f>
        <v>316.54900000000004</v>
      </c>
      <c r="F9" s="4">
        <f>+F7-F8</f>
        <v>438.22300000000001</v>
      </c>
      <c r="G9" s="4">
        <f t="shared" ref="G9:I9" si="20">+G7-G8</f>
        <v>342.77700000000004</v>
      </c>
      <c r="H9" s="4">
        <f t="shared" si="20"/>
        <v>405.94600000000003</v>
      </c>
      <c r="I9" s="4">
        <f t="shared" si="20"/>
        <v>396.43300000000005</v>
      </c>
      <c r="J9" s="4">
        <f>+J7-J8</f>
        <v>407.99699999999996</v>
      </c>
      <c r="K9" s="4">
        <f>+K7-K8</f>
        <v>394.47300000000001</v>
      </c>
      <c r="L9" s="1">
        <f t="shared" ref="L9:M9" si="21">+L7-L8</f>
        <v>452.14300000000003</v>
      </c>
      <c r="M9" s="1">
        <f t="shared" si="21"/>
        <v>453.14600000000002</v>
      </c>
      <c r="N9" s="1">
        <f t="shared" ref="N9:R9" si="22">+N7-N8</f>
        <v>457.899</v>
      </c>
      <c r="O9" s="1">
        <f t="shared" si="22"/>
        <v>403.947</v>
      </c>
      <c r="P9" s="1">
        <f t="shared" si="22"/>
        <v>619.51099999999997</v>
      </c>
      <c r="Q9" s="1">
        <f t="shared" si="22"/>
        <v>522.21400000000006</v>
      </c>
      <c r="R9" s="1">
        <f t="shared" si="22"/>
        <v>546.78999999999985</v>
      </c>
      <c r="S9" s="1">
        <f>+S7-S8</f>
        <v>536.29199999999992</v>
      </c>
      <c r="AD9" s="1">
        <f t="shared" ref="AD9:AI9" si="23">+AD7-AD8</f>
        <v>929.62900000000002</v>
      </c>
      <c r="AE9" s="1">
        <f t="shared" si="23"/>
        <v>1382.097</v>
      </c>
      <c r="AF9" s="1">
        <f t="shared" si="23"/>
        <v>1553.1529999999998</v>
      </c>
      <c r="AG9" s="1">
        <f t="shared" si="23"/>
        <v>1757.6610000000001</v>
      </c>
      <c r="AH9" s="1">
        <f t="shared" si="23"/>
        <v>2092.462</v>
      </c>
      <c r="AI9" s="1">
        <f t="shared" si="23"/>
        <v>2506.4269899999999</v>
      </c>
      <c r="AJ9" s="1">
        <f t="shared" ref="AJ9" si="24">+AJ7-AJ8</f>
        <v>2742.6840670000001</v>
      </c>
      <c r="AK9" s="1">
        <f t="shared" ref="AK9" si="25">+AK7-AK8</f>
        <v>3024.0347161000004</v>
      </c>
      <c r="AL9" s="1">
        <f t="shared" ref="AL9" si="26">+AL7-AL8</f>
        <v>3362.7178313800005</v>
      </c>
      <c r="AM9" s="1">
        <f t="shared" ref="AM9" si="27">+AM7-AM8</f>
        <v>3774.5795162665008</v>
      </c>
      <c r="AN9" s="1">
        <f t="shared" ref="AN9" si="28">+AN7-AN8</f>
        <v>4280.1520233925767</v>
      </c>
    </row>
    <row r="10" spans="1:50" s="1" customFormat="1" x14ac:dyDescent="0.2">
      <c r="B10" s="1" t="s">
        <v>27</v>
      </c>
      <c r="C10" s="4"/>
      <c r="D10" s="4">
        <v>148.79</v>
      </c>
      <c r="E10" s="4">
        <v>163.37</v>
      </c>
      <c r="F10" s="4">
        <v>222.268</v>
      </c>
      <c r="G10" s="4">
        <v>156.67099999999999</v>
      </c>
      <c r="H10" s="4">
        <v>199.48099999999999</v>
      </c>
      <c r="I10" s="4">
        <v>198.83699999999999</v>
      </c>
      <c r="J10" s="4">
        <v>336.82400000000001</v>
      </c>
      <c r="K10" s="4">
        <v>234.24600000000001</v>
      </c>
      <c r="L10" s="4">
        <v>232.57</v>
      </c>
      <c r="M10" s="1">
        <v>332.58499999999998</v>
      </c>
      <c r="N10" s="1">
        <v>244.67</v>
      </c>
      <c r="O10" s="1">
        <v>227.68899999999999</v>
      </c>
      <c r="P10" s="1">
        <v>211.14699999999999</v>
      </c>
      <c r="Q10" s="1">
        <v>222.57</v>
      </c>
      <c r="R10" s="1">
        <v>249.00200000000001</v>
      </c>
      <c r="S10" s="1">
        <v>212.233</v>
      </c>
      <c r="AD10" s="1">
        <v>547.851</v>
      </c>
      <c r="AE10" s="1">
        <v>693.71600000000001</v>
      </c>
      <c r="AF10" s="1">
        <v>891.81299999999999</v>
      </c>
      <c r="AG10" s="1">
        <f t="shared" ref="AG10:AG11" si="29">SUM(K10:N10)</f>
        <v>1044.0710000000001</v>
      </c>
      <c r="AH10" s="1">
        <f t="shared" ref="AH10:AH11" si="30">SUM(O10:R10)</f>
        <v>910.4079999999999</v>
      </c>
    </row>
    <row r="11" spans="1:50" s="1" customFormat="1" x14ac:dyDescent="0.2">
      <c r="B11" s="1" t="s">
        <v>28</v>
      </c>
      <c r="C11" s="4"/>
      <c r="D11" s="4">
        <v>98.495000000000005</v>
      </c>
      <c r="E11" s="4">
        <v>101.55800000000001</v>
      </c>
      <c r="F11" s="4">
        <v>99.311000000000007</v>
      </c>
      <c r="G11" s="4">
        <v>102.863</v>
      </c>
      <c r="H11" s="4">
        <v>122.759</v>
      </c>
      <c r="I11" s="4">
        <v>114.983</v>
      </c>
      <c r="J11" s="4">
        <v>119.251</v>
      </c>
      <c r="K11" s="4">
        <v>131.39699999999999</v>
      </c>
      <c r="L11" s="4">
        <v>141.72300000000001</v>
      </c>
      <c r="M11" s="1">
        <v>138.14400000000001</v>
      </c>
      <c r="N11" s="1">
        <v>131.441</v>
      </c>
      <c r="O11" s="1">
        <v>113.98399999999999</v>
      </c>
      <c r="P11" s="1">
        <v>132.01499999999999</v>
      </c>
      <c r="Q11" s="1">
        <v>111.801</v>
      </c>
      <c r="R11" s="1">
        <v>134.328</v>
      </c>
      <c r="S11" s="1">
        <v>137.18299999999999</v>
      </c>
      <c r="AD11" s="1">
        <v>293.35500000000002</v>
      </c>
      <c r="AE11" s="1">
        <v>401.71499999999997</v>
      </c>
      <c r="AF11" s="1">
        <v>459.85599999999999</v>
      </c>
      <c r="AG11" s="1">
        <f t="shared" si="29"/>
        <v>542.70500000000004</v>
      </c>
      <c r="AH11" s="1">
        <f t="shared" si="30"/>
        <v>492.12799999999993</v>
      </c>
      <c r="AI11" s="1">
        <f>+AH11</f>
        <v>492.12799999999993</v>
      </c>
      <c r="AJ11" s="1">
        <f t="shared" ref="AJ11:AN11" si="31">+AI11</f>
        <v>492.12799999999993</v>
      </c>
      <c r="AK11" s="1">
        <f t="shared" si="31"/>
        <v>492.12799999999993</v>
      </c>
      <c r="AL11" s="1">
        <f t="shared" si="31"/>
        <v>492.12799999999993</v>
      </c>
      <c r="AM11" s="1">
        <f t="shared" si="31"/>
        <v>492.12799999999993</v>
      </c>
      <c r="AN11" s="1">
        <f t="shared" si="31"/>
        <v>492.12799999999993</v>
      </c>
    </row>
    <row r="12" spans="1:50" s="1" customFormat="1" x14ac:dyDescent="0.2">
      <c r="B12" s="1" t="s">
        <v>25</v>
      </c>
      <c r="C12" s="4"/>
      <c r="D12" s="4">
        <f t="shared" ref="D12" si="32">+D10+D11</f>
        <v>247.285</v>
      </c>
      <c r="E12" s="4">
        <f t="shared" ref="E12" si="33">+E10+E11</f>
        <v>264.928</v>
      </c>
      <c r="F12" s="4">
        <f>+F10+F11</f>
        <v>321.57900000000001</v>
      </c>
      <c r="G12" s="4">
        <f t="shared" ref="G12:I12" si="34">+G10+G11</f>
        <v>259.53399999999999</v>
      </c>
      <c r="H12" s="4">
        <f t="shared" si="34"/>
        <v>322.24</v>
      </c>
      <c r="I12" s="4">
        <f t="shared" si="34"/>
        <v>313.82</v>
      </c>
      <c r="J12" s="4">
        <f>+J10+J11</f>
        <v>456.07500000000005</v>
      </c>
      <c r="K12" s="4">
        <f>+K10+K11</f>
        <v>365.64300000000003</v>
      </c>
      <c r="L12" s="1">
        <f t="shared" ref="L12" si="35">+L10+L11</f>
        <v>374.29300000000001</v>
      </c>
      <c r="M12" s="1">
        <f t="shared" ref="M12:N12" si="36">+M10+M11</f>
        <v>470.72899999999998</v>
      </c>
      <c r="N12" s="1">
        <f t="shared" si="36"/>
        <v>376.11099999999999</v>
      </c>
      <c r="O12" s="1">
        <f t="shared" ref="O12:R12" si="37">+O10+O11</f>
        <v>341.673</v>
      </c>
      <c r="P12" s="1">
        <f t="shared" si="37"/>
        <v>343.16199999999998</v>
      </c>
      <c r="Q12" s="1">
        <f t="shared" si="37"/>
        <v>334.37099999999998</v>
      </c>
      <c r="R12" s="1">
        <f t="shared" si="37"/>
        <v>383.33000000000004</v>
      </c>
      <c r="S12" s="1">
        <f>+S10+S11</f>
        <v>349.416</v>
      </c>
      <c r="AD12" s="1">
        <f t="shared" ref="AD12:AE12" si="38">+AD10+AD11</f>
        <v>841.20600000000002</v>
      </c>
      <c r="AE12" s="1">
        <f t="shared" si="38"/>
        <v>1095.431</v>
      </c>
      <c r="AF12" s="1">
        <f>+AF10+AF11</f>
        <v>1351.6689999999999</v>
      </c>
      <c r="AG12" s="1">
        <f>+AG10+AG11</f>
        <v>1586.7760000000003</v>
      </c>
      <c r="AH12" s="1">
        <f>+AH10+AH11</f>
        <v>1402.5359999999998</v>
      </c>
      <c r="AI12" s="1">
        <f>+AI10+AI11</f>
        <v>492.12799999999993</v>
      </c>
      <c r="AJ12" s="1">
        <f t="shared" ref="AJ12" si="39">+AJ10+AJ11</f>
        <v>492.12799999999993</v>
      </c>
      <c r="AK12" s="1">
        <f t="shared" ref="AK12" si="40">+AK10+AK11</f>
        <v>492.12799999999993</v>
      </c>
      <c r="AL12" s="1">
        <f t="shared" ref="AL12" si="41">+AL10+AL11</f>
        <v>492.12799999999993</v>
      </c>
      <c r="AM12" s="1">
        <f t="shared" ref="AM12" si="42">+AM10+AM11</f>
        <v>492.12799999999993</v>
      </c>
      <c r="AN12" s="1">
        <f t="shared" ref="AN12" si="43">+AN10+AN11</f>
        <v>492.12799999999993</v>
      </c>
    </row>
    <row r="13" spans="1:50" s="1" customFormat="1" x14ac:dyDescent="0.2">
      <c r="B13" s="1" t="s">
        <v>26</v>
      </c>
      <c r="C13" s="4"/>
      <c r="D13" s="4">
        <f t="shared" ref="D13" si="44">+D9-D12</f>
        <v>123.54799999999997</v>
      </c>
      <c r="E13" s="4">
        <f t="shared" ref="E13" si="45">+E9-E12</f>
        <v>51.621000000000038</v>
      </c>
      <c r="F13" s="4">
        <f>+F9-F12</f>
        <v>116.64400000000001</v>
      </c>
      <c r="G13" s="4">
        <f t="shared" ref="G13:I13" si="46">+G9-G12</f>
        <v>83.243000000000052</v>
      </c>
      <c r="H13" s="4">
        <f t="shared" si="46"/>
        <v>83.706000000000017</v>
      </c>
      <c r="I13" s="4">
        <f t="shared" si="46"/>
        <v>82.613000000000056</v>
      </c>
      <c r="J13" s="4">
        <f>+J9-J12</f>
        <v>-48.078000000000088</v>
      </c>
      <c r="K13" s="4">
        <f>+K9-K12</f>
        <v>28.829999999999984</v>
      </c>
      <c r="L13" s="1">
        <f t="shared" ref="L13" si="47">+L9-L12</f>
        <v>77.850000000000023</v>
      </c>
      <c r="M13" s="1">
        <f t="shared" ref="M13:N13" si="48">+M9-M12</f>
        <v>-17.58299999999997</v>
      </c>
      <c r="N13" s="1">
        <f t="shared" si="48"/>
        <v>81.788000000000011</v>
      </c>
      <c r="O13" s="1">
        <f t="shared" ref="O13:R13" si="49">+O9-O12</f>
        <v>62.274000000000001</v>
      </c>
      <c r="P13" s="1">
        <f t="shared" si="49"/>
        <v>276.34899999999999</v>
      </c>
      <c r="Q13" s="1">
        <f t="shared" si="49"/>
        <v>187.84300000000007</v>
      </c>
      <c r="R13" s="1">
        <f t="shared" si="49"/>
        <v>163.45999999999981</v>
      </c>
      <c r="S13" s="1">
        <f>+S9-S12</f>
        <v>186.87599999999992</v>
      </c>
      <c r="AD13" s="1">
        <f t="shared" ref="AD13:AE13" si="50">+AD9-AD12</f>
        <v>88.423000000000002</v>
      </c>
      <c r="AE13" s="1">
        <f t="shared" si="50"/>
        <v>286.66599999999994</v>
      </c>
      <c r="AF13" s="1">
        <f>+AF9-AF12</f>
        <v>201.48399999999992</v>
      </c>
      <c r="AG13" s="1">
        <f>+AG9-AG12</f>
        <v>170.88499999999976</v>
      </c>
      <c r="AH13" s="1">
        <f>+AH9-AH12</f>
        <v>689.92600000000016</v>
      </c>
      <c r="AI13" s="1">
        <f>+AI9-AI12</f>
        <v>2014.29899</v>
      </c>
      <c r="AJ13" s="1">
        <f t="shared" ref="AJ13" si="51">+AJ9-AJ12</f>
        <v>2250.5560670000004</v>
      </c>
      <c r="AK13" s="1">
        <f t="shared" ref="AK13" si="52">+AK9-AK12</f>
        <v>2531.9067161000003</v>
      </c>
      <c r="AL13" s="1">
        <f t="shared" ref="AL13" si="53">+AL9-AL12</f>
        <v>2870.5898313800008</v>
      </c>
      <c r="AM13" s="1">
        <f t="shared" ref="AM13" si="54">+AM9-AM12</f>
        <v>3282.4515162665011</v>
      </c>
      <c r="AN13" s="1">
        <f t="shared" ref="AN13" si="55">+AN9-AN12</f>
        <v>3788.024023392577</v>
      </c>
    </row>
    <row r="14" spans="1:50" s="1" customFormat="1" x14ac:dyDescent="0.2">
      <c r="B14" s="1" t="s">
        <v>40</v>
      </c>
      <c r="C14" s="4"/>
      <c r="D14" s="4">
        <v>1.891</v>
      </c>
      <c r="E14" s="4">
        <v>1.6579999999999999</v>
      </c>
      <c r="F14" s="4">
        <f>1.441-0.064</f>
        <v>1.377</v>
      </c>
      <c r="G14" s="4">
        <v>1.8220000000000001</v>
      </c>
      <c r="H14" s="4">
        <v>4.7569999999999997</v>
      </c>
      <c r="I14" s="4">
        <v>9.4979999999999993</v>
      </c>
      <c r="J14" s="4">
        <f>16.988-0.337</f>
        <v>16.651</v>
      </c>
      <c r="K14" s="4">
        <v>19.501999999999999</v>
      </c>
      <c r="L14" s="4">
        <v>22.541</v>
      </c>
      <c r="M14" s="1">
        <v>23.111999999999998</v>
      </c>
      <c r="N14" s="1">
        <v>21.388000000000002</v>
      </c>
      <c r="O14" s="1">
        <v>19.893999999999998</v>
      </c>
      <c r="P14" s="1">
        <v>17.257999999999999</v>
      </c>
      <c r="Q14" s="1">
        <v>18.709</v>
      </c>
      <c r="R14" s="1">
        <v>21.295000000000002</v>
      </c>
      <c r="S14" s="1">
        <v>19.076000000000001</v>
      </c>
      <c r="AG14" s="1">
        <f t="shared" ref="AG14" si="56">SUM(K14:N14)</f>
        <v>86.543000000000006</v>
      </c>
      <c r="AH14" s="1">
        <f t="shared" ref="AH14" si="57">SUM(O14:R14)</f>
        <v>77.156000000000006</v>
      </c>
      <c r="AI14" s="1">
        <f>+AH14</f>
        <v>77.156000000000006</v>
      </c>
      <c r="AJ14" s="1">
        <f t="shared" ref="AJ14:AN14" si="58">+AI14</f>
        <v>77.156000000000006</v>
      </c>
      <c r="AK14" s="1">
        <f t="shared" si="58"/>
        <v>77.156000000000006</v>
      </c>
      <c r="AL14" s="1">
        <f t="shared" si="58"/>
        <v>77.156000000000006</v>
      </c>
      <c r="AM14" s="1">
        <f t="shared" si="58"/>
        <v>77.156000000000006</v>
      </c>
      <c r="AN14" s="1">
        <f t="shared" si="58"/>
        <v>77.156000000000006</v>
      </c>
    </row>
    <row r="15" spans="1:50" s="1" customFormat="1" x14ac:dyDescent="0.2">
      <c r="B15" s="1" t="s">
        <v>41</v>
      </c>
      <c r="C15" s="4"/>
      <c r="D15" s="4">
        <f>+D13+D14</f>
        <v>125.43899999999998</v>
      </c>
      <c r="E15" s="4">
        <f>+E13+E14</f>
        <v>53.279000000000039</v>
      </c>
      <c r="F15" s="4">
        <f>+F13+F14</f>
        <v>118.021</v>
      </c>
      <c r="G15" s="4">
        <f t="shared" ref="G15:I15" si="59">+G13+G14</f>
        <v>85.065000000000055</v>
      </c>
      <c r="H15" s="4">
        <f t="shared" si="59"/>
        <v>88.463000000000022</v>
      </c>
      <c r="I15" s="4">
        <f t="shared" si="59"/>
        <v>92.111000000000061</v>
      </c>
      <c r="J15" s="4">
        <f>+J13+J14</f>
        <v>-31.427000000000088</v>
      </c>
      <c r="K15" s="4">
        <f t="shared" ref="K15" si="60">+K13+K14</f>
        <v>48.331999999999979</v>
      </c>
      <c r="L15" s="1">
        <f t="shared" ref="L15:R15" si="61">+L13+L14</f>
        <v>100.39100000000002</v>
      </c>
      <c r="M15" s="1">
        <f t="shared" si="61"/>
        <v>5.5290000000000283</v>
      </c>
      <c r="N15" s="1">
        <f t="shared" si="61"/>
        <v>103.17600000000002</v>
      </c>
      <c r="O15" s="1">
        <f t="shared" si="61"/>
        <v>82.168000000000006</v>
      </c>
      <c r="P15" s="1">
        <f t="shared" si="61"/>
        <v>293.60699999999997</v>
      </c>
      <c r="Q15" s="1">
        <f t="shared" si="61"/>
        <v>206.55200000000008</v>
      </c>
      <c r="R15" s="1">
        <f t="shared" si="61"/>
        <v>184.75499999999982</v>
      </c>
      <c r="S15" s="1">
        <f>+S13+S14</f>
        <v>205.95199999999991</v>
      </c>
      <c r="AD15" s="1">
        <f t="shared" ref="AD15:AF15" si="62">+AD13+AD14</f>
        <v>88.423000000000002</v>
      </c>
      <c r="AE15" s="1">
        <f t="shared" si="62"/>
        <v>286.66599999999994</v>
      </c>
      <c r="AF15" s="1">
        <f t="shared" si="62"/>
        <v>201.48399999999992</v>
      </c>
      <c r="AG15" s="1">
        <f>+AG13+AG14</f>
        <v>257.42799999999977</v>
      </c>
      <c r="AH15" s="1">
        <f>+AH13+AH14</f>
        <v>767.08200000000011</v>
      </c>
      <c r="AI15" s="1">
        <f>+AI13+AI14</f>
        <v>2091.4549900000002</v>
      </c>
      <c r="AJ15" s="1">
        <f t="shared" ref="AJ15" si="63">+AJ13+AJ14</f>
        <v>2327.7120670000004</v>
      </c>
      <c r="AK15" s="1">
        <f t="shared" ref="AK15" si="64">+AK13+AK14</f>
        <v>2609.0627161000002</v>
      </c>
      <c r="AL15" s="1">
        <f t="shared" ref="AL15" si="65">+AL13+AL14</f>
        <v>2947.7458313800007</v>
      </c>
      <c r="AM15" s="1">
        <f t="shared" ref="AM15" si="66">+AM13+AM14</f>
        <v>3359.6075162665011</v>
      </c>
      <c r="AN15" s="1">
        <f t="shared" ref="AN15" si="67">+AN13+AN14</f>
        <v>3865.1800233925769</v>
      </c>
    </row>
    <row r="16" spans="1:50" s="1" customFormat="1" x14ac:dyDescent="0.2">
      <c r="B16" s="1" t="s">
        <v>42</v>
      </c>
      <c r="C16" s="4"/>
      <c r="D16" s="4">
        <v>28.795999999999999</v>
      </c>
      <c r="E16" s="4">
        <v>15.055999999999999</v>
      </c>
      <c r="F16" s="4">
        <v>22.855</v>
      </c>
      <c r="G16" s="4">
        <v>16.655999999999999</v>
      </c>
      <c r="H16" s="4">
        <v>17.835999999999999</v>
      </c>
      <c r="I16" s="4">
        <v>18.832000000000001</v>
      </c>
      <c r="J16" s="4">
        <v>0</v>
      </c>
      <c r="K16" s="4">
        <v>8.25</v>
      </c>
      <c r="L16" s="4">
        <v>19.207999999999998</v>
      </c>
      <c r="M16" s="1">
        <v>4.7770000000000001</v>
      </c>
      <c r="N16" s="1">
        <v>17.521000000000001</v>
      </c>
      <c r="O16" s="1">
        <v>11.95</v>
      </c>
      <c r="P16" s="1">
        <v>66.728999999999999</v>
      </c>
      <c r="Q16" s="1">
        <v>36.781999999999996</v>
      </c>
      <c r="R16" s="1">
        <v>44.911999999999999</v>
      </c>
      <c r="S16" s="1">
        <v>46.073999999999998</v>
      </c>
      <c r="AG16" s="1">
        <f t="shared" ref="AG16" si="68">SUM(K16:N16)</f>
        <v>49.756</v>
      </c>
      <c r="AH16" s="1">
        <f t="shared" ref="AH16" si="69">SUM(O16:R16)</f>
        <v>160.37299999999999</v>
      </c>
      <c r="AI16" s="1">
        <f>+AI15*0.2</f>
        <v>418.29099800000006</v>
      </c>
      <c r="AJ16" s="1">
        <f t="shared" ref="AJ16" si="70">+AJ15*0.2</f>
        <v>465.5424134000001</v>
      </c>
      <c r="AK16" s="1">
        <f t="shared" ref="AK16" si="71">+AK15*0.2</f>
        <v>521.81254322000007</v>
      </c>
      <c r="AL16" s="1">
        <f t="shared" ref="AL16" si="72">+AL15*0.2</f>
        <v>589.54916627600016</v>
      </c>
      <c r="AM16" s="1">
        <f t="shared" ref="AM16" si="73">+AM15*0.2</f>
        <v>671.92150325330022</v>
      </c>
      <c r="AN16" s="1">
        <f t="shared" ref="AN16" si="74">+AN15*0.2</f>
        <v>773.03600467851538</v>
      </c>
    </row>
    <row r="17" spans="2:40" s="1" customFormat="1" x14ac:dyDescent="0.2">
      <c r="B17" s="1" t="s">
        <v>38</v>
      </c>
      <c r="C17" s="4"/>
      <c r="D17" s="4">
        <f>+D15-D16</f>
        <v>96.642999999999972</v>
      </c>
      <c r="E17" s="4">
        <f>+E15-E16</f>
        <v>38.223000000000042</v>
      </c>
      <c r="F17" s="4">
        <f>+F15-F16</f>
        <v>95.165999999999997</v>
      </c>
      <c r="G17" s="4">
        <f t="shared" ref="G17:I17" si="75">+G15-G16</f>
        <v>68.409000000000049</v>
      </c>
      <c r="H17" s="4">
        <f t="shared" si="75"/>
        <v>70.627000000000024</v>
      </c>
      <c r="I17" s="4">
        <f t="shared" si="75"/>
        <v>73.279000000000053</v>
      </c>
      <c r="J17" s="4">
        <f>+J15-J16</f>
        <v>-31.427000000000088</v>
      </c>
      <c r="K17" s="4">
        <f>+K15-K16</f>
        <v>40.081999999999979</v>
      </c>
      <c r="L17" s="1">
        <f t="shared" ref="L17:R17" si="76">+L15-L16</f>
        <v>81.183000000000021</v>
      </c>
      <c r="M17" s="1">
        <f t="shared" si="76"/>
        <v>0.7520000000000282</v>
      </c>
      <c r="N17" s="1">
        <f t="shared" si="76"/>
        <v>85.655000000000015</v>
      </c>
      <c r="O17" s="1">
        <f t="shared" si="76"/>
        <v>70.218000000000004</v>
      </c>
      <c r="P17" s="1">
        <f t="shared" si="76"/>
        <v>226.87799999999999</v>
      </c>
      <c r="Q17" s="1">
        <f t="shared" si="76"/>
        <v>169.7700000000001</v>
      </c>
      <c r="R17" s="1">
        <f t="shared" si="76"/>
        <v>139.84299999999982</v>
      </c>
      <c r="S17" s="1">
        <f>+S15-S16</f>
        <v>159.87799999999993</v>
      </c>
      <c r="AD17" s="1">
        <f t="shared" ref="AD17:AF17" si="77">+AD15-AD16</f>
        <v>88.423000000000002</v>
      </c>
      <c r="AE17" s="1">
        <f t="shared" si="77"/>
        <v>286.66599999999994</v>
      </c>
      <c r="AF17" s="1">
        <f t="shared" si="77"/>
        <v>201.48399999999992</v>
      </c>
      <c r="AG17" s="1">
        <f>+AG15-AG16</f>
        <v>207.67199999999977</v>
      </c>
      <c r="AH17" s="1">
        <f>+AH15-AH16</f>
        <v>606.70900000000006</v>
      </c>
      <c r="AI17" s="1">
        <f>+AI15-AI16</f>
        <v>1673.1639920000002</v>
      </c>
      <c r="AJ17" s="1">
        <f t="shared" ref="AJ17" si="78">+AJ15-AJ16</f>
        <v>1862.1696536000004</v>
      </c>
      <c r="AK17" s="1">
        <f t="shared" ref="AK17" si="79">+AK15-AK16</f>
        <v>2087.2501728800003</v>
      </c>
      <c r="AL17" s="1">
        <f t="shared" ref="AL17" si="80">+AL15-AL16</f>
        <v>2358.1966651040007</v>
      </c>
      <c r="AM17" s="1">
        <f t="shared" ref="AM17" si="81">+AM15-AM16</f>
        <v>2687.6860130132009</v>
      </c>
      <c r="AN17" s="1">
        <f t="shared" ref="AN17" si="82">+AN15-AN16</f>
        <v>3092.1440187140615</v>
      </c>
    </row>
    <row r="18" spans="2:40" x14ac:dyDescent="0.2">
      <c r="B18" t="s">
        <v>39</v>
      </c>
      <c r="D18" s="15">
        <f t="shared" ref="D18:K18" si="83">+D17/D19</f>
        <v>0.29925899777358705</v>
      </c>
      <c r="E18" s="15">
        <f t="shared" si="83"/>
        <v>0.11869685922079871</v>
      </c>
      <c r="F18" s="15">
        <f t="shared" si="83"/>
        <v>0.29439824782834662</v>
      </c>
      <c r="G18" s="15">
        <f t="shared" si="83"/>
        <v>0.2116032404443085</v>
      </c>
      <c r="H18" s="15">
        <f t="shared" si="83"/>
        <v>0.21737805628739573</v>
      </c>
      <c r="I18" s="15">
        <f t="shared" si="83"/>
        <v>0.22542806691564193</v>
      </c>
      <c r="J18" s="15">
        <f t="shared" si="83"/>
        <v>-9.7220159873289566E-2</v>
      </c>
      <c r="K18" s="15">
        <f t="shared" si="83"/>
        <v>0.12284578535547792</v>
      </c>
      <c r="L18" s="17">
        <f t="shared" ref="L18:R18" si="84">+L17/L19</f>
        <v>0.24803470768854743</v>
      </c>
      <c r="M18" s="17">
        <f t="shared" si="84"/>
        <v>2.3555428868557203E-3</v>
      </c>
      <c r="N18" s="17">
        <f t="shared" si="84"/>
        <v>0.27363803937729819</v>
      </c>
      <c r="O18" s="17">
        <f t="shared" si="84"/>
        <v>0.22982358524531146</v>
      </c>
      <c r="P18" s="17">
        <f t="shared" si="84"/>
        <v>0.7717621286236197</v>
      </c>
      <c r="Q18" s="17">
        <f t="shared" si="84"/>
        <v>0.58244533035083301</v>
      </c>
      <c r="R18" s="17">
        <f t="shared" si="84"/>
        <v>0.47639211571610524</v>
      </c>
      <c r="S18" s="17">
        <f>+S17/S19</f>
        <v>0.55479097915517173</v>
      </c>
      <c r="AD18" s="17" t="e">
        <f t="shared" ref="AD18:AF18" si="85">+AD17/AD19</f>
        <v>#DIV/0!</v>
      </c>
      <c r="AE18" s="17">
        <f t="shared" si="85"/>
        <v>0.8882267338277805</v>
      </c>
      <c r="AF18" s="17">
        <f t="shared" si="85"/>
        <v>0.62161718144410194</v>
      </c>
      <c r="AG18" s="17">
        <f>+AG17/AG19</f>
        <v>0.64602046577605143</v>
      </c>
      <c r="AH18" s="17">
        <f>+AH17/AH19</f>
        <v>2.0487789229127551</v>
      </c>
      <c r="AI18" s="17">
        <f>+AI17/AI19</f>
        <v>5.6500614320640805</v>
      </c>
      <c r="AJ18" s="17">
        <f t="shared" ref="AJ18" si="86">+AJ17/AJ19</f>
        <v>6.2883094484891888</v>
      </c>
      <c r="AK18" s="17">
        <f t="shared" ref="AK18" si="87">+AK17/AK19</f>
        <v>7.0483776588818507</v>
      </c>
      <c r="AL18" s="17">
        <f t="shared" ref="AL18" si="88">+AL17/AL19</f>
        <v>7.9633294108843371</v>
      </c>
      <c r="AM18" s="17">
        <f t="shared" ref="AM18" si="89">+AM17/AM19</f>
        <v>9.0759729209041939</v>
      </c>
      <c r="AN18" s="17">
        <f t="shared" ref="AN18" si="90">+AN17/AN19</f>
        <v>10.441776027967466</v>
      </c>
    </row>
    <row r="19" spans="2:40" s="1" customFormat="1" x14ac:dyDescent="0.2">
      <c r="B19" s="1" t="s">
        <v>1</v>
      </c>
      <c r="C19" s="4"/>
      <c r="D19" s="4">
        <v>322.94099999999997</v>
      </c>
      <c r="E19" s="4">
        <v>322.02199999999999</v>
      </c>
      <c r="F19" s="4">
        <v>323.25599999999997</v>
      </c>
      <c r="G19" s="4">
        <v>323.28899999999999</v>
      </c>
      <c r="H19" s="4">
        <v>324.904</v>
      </c>
      <c r="I19" s="4">
        <v>325.06599999999997</v>
      </c>
      <c r="J19" s="4">
        <v>323.25599999999997</v>
      </c>
      <c r="K19" s="4">
        <v>326.279</v>
      </c>
      <c r="L19" s="4">
        <v>327.30500000000001</v>
      </c>
      <c r="M19" s="1">
        <v>319.24700000000001</v>
      </c>
      <c r="N19" s="1">
        <v>313.02300000000002</v>
      </c>
      <c r="O19" s="1">
        <v>305.52999999999997</v>
      </c>
      <c r="P19" s="1">
        <v>293.97399999999999</v>
      </c>
      <c r="Q19" s="1">
        <v>291.47800000000001</v>
      </c>
      <c r="R19" s="1">
        <v>293.54599999999999</v>
      </c>
      <c r="S19" s="1">
        <v>288.17700000000002</v>
      </c>
      <c r="AE19" s="1">
        <f>AVERAGE(C19:F19)</f>
        <v>322.73966666666666</v>
      </c>
      <c r="AF19" s="1">
        <f>AVERAGE(G19:J19)</f>
        <v>324.12874999999997</v>
      </c>
      <c r="AG19" s="1">
        <f>AVERAGE(K19:N19)</f>
        <v>321.46350000000007</v>
      </c>
      <c r="AH19" s="1">
        <f>AVERAGE(O19:R19)</f>
        <v>296.13200000000001</v>
      </c>
      <c r="AI19" s="1">
        <f>+AH19</f>
        <v>296.13200000000001</v>
      </c>
      <c r="AJ19" s="1">
        <f t="shared" ref="AJ19:AN19" si="91">+AI19</f>
        <v>296.13200000000001</v>
      </c>
      <c r="AK19" s="1">
        <f t="shared" si="91"/>
        <v>296.13200000000001</v>
      </c>
      <c r="AL19" s="1">
        <f t="shared" si="91"/>
        <v>296.13200000000001</v>
      </c>
      <c r="AM19" s="1">
        <f t="shared" si="91"/>
        <v>296.13200000000001</v>
      </c>
      <c r="AN19" s="1">
        <f t="shared" si="91"/>
        <v>296.13200000000001</v>
      </c>
    </row>
    <row r="21" spans="2:40" x14ac:dyDescent="0.2">
      <c r="B21" s="1" t="s">
        <v>74</v>
      </c>
      <c r="G21" s="18"/>
      <c r="H21" s="18">
        <f t="shared" ref="H21" si="92">H4/D4-1</f>
        <v>0.22091976020939463</v>
      </c>
      <c r="I21" s="18">
        <f t="shared" ref="I21" si="93">I4/E4-1</f>
        <v>0.39284804858675049</v>
      </c>
      <c r="J21" s="18">
        <f t="shared" ref="J21" si="94">J4/F4-1</f>
        <v>0.24692826393638145</v>
      </c>
      <c r="K21" s="18">
        <f t="shared" ref="K21" si="95">K4/G4-1</f>
        <v>0.17113226640197476</v>
      </c>
      <c r="L21" s="18">
        <f>L4/H4-1</f>
        <v>0.18038634870506343</v>
      </c>
      <c r="M21" s="18">
        <f t="shared" ref="M21" si="96">M4/I4-1</f>
        <v>0.16375974809131133</v>
      </c>
      <c r="N21" s="18">
        <f t="shared" ref="N21" si="97">N4/J4-1</f>
        <v>0.13755799257589052</v>
      </c>
      <c r="O21" s="18">
        <f t="shared" ref="O21" si="98">O4/K4-1</f>
        <v>4.1552008805723739E-2</v>
      </c>
      <c r="P21" s="18">
        <f t="shared" ref="P21:R21" si="99">P4/L4-1</f>
        <v>6.8193025197365476E-2</v>
      </c>
      <c r="Q21" s="18">
        <f t="shared" si="99"/>
        <v>0.1208965127538999</v>
      </c>
      <c r="R21" s="18">
        <f t="shared" si="99"/>
        <v>0.20006708032869347</v>
      </c>
      <c r="S21" s="18">
        <f>S4/O4-1</f>
        <v>0.35614266842800513</v>
      </c>
    </row>
    <row r="22" spans="2:40" x14ac:dyDescent="0.2">
      <c r="G22" s="18"/>
      <c r="H22" s="18"/>
      <c r="I22" s="18"/>
      <c r="J22" s="18"/>
    </row>
  </sheetData>
  <hyperlinks>
    <hyperlink ref="A1" location="Main!A1" display="Main" xr:uid="{68C50480-4017-49B9-8F7C-F7008CCC1D43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242F-D62E-4506-AAAA-E505F1D99D1C}">
  <dimension ref="A1:C6"/>
  <sheetViews>
    <sheetView zoomScaleNormal="100" workbookViewId="0">
      <selection activeCell="B6" sqref="B6"/>
    </sheetView>
  </sheetViews>
  <sheetFormatPr defaultRowHeight="12.75" x14ac:dyDescent="0.2"/>
  <cols>
    <col min="1" max="1" width="5" bestFit="1" customWidth="1"/>
    <col min="3" max="3" width="11.28515625" customWidth="1"/>
  </cols>
  <sheetData>
    <row r="1" spans="1:3" x14ac:dyDescent="0.2">
      <c r="A1" s="3" t="s">
        <v>7</v>
      </c>
    </row>
    <row r="2" spans="1:3" x14ac:dyDescent="0.2">
      <c r="B2" t="s">
        <v>29</v>
      </c>
      <c r="C2" t="s">
        <v>55</v>
      </c>
    </row>
    <row r="3" spans="1:3" x14ac:dyDescent="0.2">
      <c r="B3" t="s">
        <v>56</v>
      </c>
      <c r="C3" t="s">
        <v>57</v>
      </c>
    </row>
    <row r="4" spans="1:3" x14ac:dyDescent="0.2">
      <c r="B4" t="s">
        <v>31</v>
      </c>
      <c r="C4" t="s">
        <v>34</v>
      </c>
    </row>
    <row r="5" spans="1:3" x14ac:dyDescent="0.2">
      <c r="B5" t="s">
        <v>63</v>
      </c>
      <c r="C5" t="s">
        <v>65</v>
      </c>
    </row>
    <row r="6" spans="1:3" x14ac:dyDescent="0.2">
      <c r="C6" t="s">
        <v>64</v>
      </c>
    </row>
  </sheetData>
  <hyperlinks>
    <hyperlink ref="A1" location="Main!A1" display="Main" xr:uid="{45616041-BC20-424D-8E53-78E0CBFD3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Cabometyx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2023-02-14T15:39:12Z</dcterms:created>
  <dcterms:modified xsi:type="dcterms:W3CDTF">2025-10-09T13:34:07Z</dcterms:modified>
</cp:coreProperties>
</file>