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9BE5BDF3-9523-4674-908E-D645AD0C5EB7}" xr6:coauthVersionLast="47" xr6:coauthVersionMax="47" xr10:uidLastSave="{00000000-0000-0000-0000-000000000000}"/>
  <bookViews>
    <workbookView xWindow="4020" yWindow="4020" windowWidth="18075" windowHeight="16020" activeTab="1" xr2:uid="{98519F90-2A60-4886-B4D2-69933D2968E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3" i="2" l="1"/>
  <c r="P43" i="2"/>
  <c r="O43" i="2"/>
  <c r="Q16" i="2"/>
  <c r="P16" i="2"/>
  <c r="O16" i="2"/>
  <c r="F16" i="2"/>
  <c r="Q15" i="2"/>
  <c r="P15" i="2"/>
  <c r="F3" i="2"/>
  <c r="F13" i="2"/>
  <c r="F10" i="2"/>
  <c r="F6" i="2"/>
  <c r="F4" i="2"/>
  <c r="F5" i="2"/>
  <c r="F7" i="2" s="1"/>
  <c r="Q5" i="2"/>
  <c r="P5" i="2"/>
  <c r="P7" i="2" s="1"/>
  <c r="P9" i="2" s="1"/>
  <c r="P11" i="2" s="1"/>
  <c r="P12" i="2" s="1"/>
  <c r="O5" i="2"/>
  <c r="O7" i="2" s="1"/>
  <c r="O9" i="2" s="1"/>
  <c r="O11" i="2" s="1"/>
  <c r="O12" i="2" s="1"/>
  <c r="Q7" i="2"/>
  <c r="Q9" i="2" s="1"/>
  <c r="Q11" i="2" s="1"/>
  <c r="Q12" i="2" s="1"/>
  <c r="P2" i="2"/>
  <c r="Q2" i="2" s="1"/>
  <c r="F2" i="2" s="1"/>
  <c r="G15" i="2"/>
  <c r="C5" i="2"/>
  <c r="C16" i="2" s="1"/>
  <c r="G8" i="2"/>
  <c r="G5" i="2"/>
  <c r="G16" i="2" s="1"/>
  <c r="H15" i="2"/>
  <c r="D8" i="2"/>
  <c r="D5" i="2"/>
  <c r="D7" i="2" s="1"/>
  <c r="H8" i="2"/>
  <c r="H5" i="2"/>
  <c r="H16" i="2" s="1"/>
  <c r="L7" i="1"/>
  <c r="I31" i="2"/>
  <c r="I34" i="2"/>
  <c r="I33" i="2"/>
  <c r="I39" i="2" s="1"/>
  <c r="I22" i="2"/>
  <c r="I24" i="2"/>
  <c r="I20" i="2"/>
  <c r="I19" i="2" s="1"/>
  <c r="I15" i="2"/>
  <c r="E8" i="2"/>
  <c r="I8" i="2"/>
  <c r="E5" i="2"/>
  <c r="E7" i="2" s="1"/>
  <c r="I5" i="2"/>
  <c r="I7" i="2" s="1"/>
  <c r="I9" i="2" s="1"/>
  <c r="I11" i="2" s="1"/>
  <c r="I12" i="2" s="1"/>
  <c r="L4" i="1"/>
  <c r="F8" i="2" l="1"/>
  <c r="F9" i="2" s="1"/>
  <c r="F11" i="2" s="1"/>
  <c r="F12" i="2" s="1"/>
  <c r="C7" i="2"/>
  <c r="C9" i="2" s="1"/>
  <c r="C11" i="2" s="1"/>
  <c r="C12" i="2" s="1"/>
  <c r="G7" i="2"/>
  <c r="G9" i="2" s="1"/>
  <c r="G11" i="2" s="1"/>
  <c r="G12" i="2" s="1"/>
  <c r="D16" i="2"/>
  <c r="E9" i="2"/>
  <c r="E11" i="2" s="1"/>
  <c r="E12" i="2" s="1"/>
  <c r="D9" i="2"/>
  <c r="D11" i="2" s="1"/>
  <c r="D12" i="2" s="1"/>
  <c r="H7" i="2"/>
  <c r="H9" i="2" s="1"/>
  <c r="H11" i="2" s="1"/>
  <c r="H12" i="2" s="1"/>
  <c r="I16" i="2"/>
  <c r="E16" i="2"/>
  <c r="I28" i="2"/>
</calcChain>
</file>

<file path=xl/sharedStrings.xml><?xml version="1.0" encoding="utf-8"?>
<sst xmlns="http://schemas.openxmlformats.org/spreadsheetml/2006/main" count="52" uniqueCount="45">
  <si>
    <t>Portfolio Analytics tools leader</t>
  </si>
  <si>
    <t>Price</t>
  </si>
  <si>
    <t>Shares</t>
  </si>
  <si>
    <t>MC</t>
  </si>
  <si>
    <t>Cash</t>
  </si>
  <si>
    <t>Debt</t>
  </si>
  <si>
    <t>EV</t>
  </si>
  <si>
    <t>Q225</t>
  </si>
  <si>
    <t>Main</t>
  </si>
  <si>
    <t>Revenue</t>
  </si>
  <si>
    <t>COGS</t>
  </si>
  <si>
    <t>Gross Profit</t>
  </si>
  <si>
    <t>SG&amp;A</t>
  </si>
  <si>
    <t>Operating Income</t>
  </si>
  <si>
    <t>Interest Expense</t>
  </si>
  <si>
    <t>Pretax Income</t>
  </si>
  <si>
    <t>Net Income</t>
  </si>
  <si>
    <t>Taxes</t>
  </si>
  <si>
    <t>EPS</t>
  </si>
  <si>
    <t>Revenue y/y</t>
  </si>
  <si>
    <t>Gross Margin %</t>
  </si>
  <si>
    <t>Assets</t>
  </si>
  <si>
    <t>Other Assets</t>
  </si>
  <si>
    <t>Lease</t>
  </si>
  <si>
    <t>Deferred Taxes</t>
  </si>
  <si>
    <t>Goodwill</t>
  </si>
  <si>
    <t>PP&amp;E</t>
  </si>
  <si>
    <t>Prepaids</t>
  </si>
  <si>
    <t>AR</t>
  </si>
  <si>
    <t>AP</t>
  </si>
  <si>
    <t>Compensation</t>
  </si>
  <si>
    <t>D/R</t>
  </si>
  <si>
    <t>Dividends</t>
  </si>
  <si>
    <t>Other</t>
  </si>
  <si>
    <t>S/E</t>
  </si>
  <si>
    <t>L+SE</t>
  </si>
  <si>
    <t>Net Cash</t>
  </si>
  <si>
    <t>Irwin acquisition</t>
  </si>
  <si>
    <t>Founded: 1978</t>
  </si>
  <si>
    <r>
      <t>FactSet Workstation</t>
    </r>
    <r>
      <rPr>
        <sz val="10"/>
        <color theme="1"/>
        <rFont val="Arial"/>
        <family val="2"/>
      </rPr>
      <t xml:space="preserve"> – skrivbordsklient med realtidsdata, screening, modellstöd och analys.</t>
    </r>
  </si>
  <si>
    <r>
      <t>Portfolio Analytics</t>
    </r>
    <r>
      <rPr>
        <sz val="10"/>
        <color theme="1"/>
        <rFont val="Arial"/>
        <family val="2"/>
      </rPr>
      <t xml:space="preserve"> – portföljanalys, attribution, scenario/stresstest.</t>
    </r>
  </si>
  <si>
    <r>
      <t>Trading &amp; EMS</t>
    </r>
    <r>
      <rPr>
        <sz val="10"/>
        <color theme="1"/>
        <rFont val="Arial"/>
        <family val="2"/>
      </rPr>
      <t xml:space="preserve"> – </t>
    </r>
    <r>
      <rPr>
        <b/>
        <sz val="10"/>
        <color theme="1"/>
        <rFont val="Arial"/>
        <family val="2"/>
      </rPr>
      <t>Portware/FactSet EMS</t>
    </r>
    <r>
      <rPr>
        <sz val="10"/>
        <color theme="1"/>
        <rFont val="Arial"/>
        <family val="2"/>
      </rPr>
      <t xml:space="preserve"> för order/exekvering och integrerade handelsarbetsflöden.</t>
    </r>
  </si>
  <si>
    <r>
      <t>Datafeeds, API:er &amp; Marketplace</t>
    </r>
    <r>
      <rPr>
        <sz val="10"/>
        <color theme="1"/>
        <rFont val="Arial"/>
        <family val="2"/>
      </rPr>
      <t xml:space="preserve"> – Open:FactSet Marketplace med hundratals datamängder och API:er.</t>
    </r>
  </si>
  <si>
    <r>
      <t>Identifierare &amp; referensdata</t>
    </r>
    <r>
      <rPr>
        <sz val="10"/>
        <color theme="1"/>
        <rFont val="Arial"/>
        <family val="2"/>
      </rPr>
      <t xml:space="preserve"> – </t>
    </r>
    <r>
      <rPr>
        <b/>
        <sz val="10"/>
        <color theme="1"/>
        <rFont val="Arial"/>
        <family val="2"/>
      </rPr>
      <t>CUSIP Global Services</t>
    </r>
    <r>
      <rPr>
        <sz val="10"/>
        <color theme="1"/>
        <rFont val="Arial"/>
        <family val="2"/>
      </rPr>
      <t xml:space="preserve"> (förvärvat, levererar värdepappersidentifierare globalt).</t>
    </r>
  </si>
  <si>
    <r>
      <t>ESG-data</t>
    </r>
    <r>
      <rPr>
        <sz val="10"/>
        <color theme="1"/>
        <rFont val="Arial"/>
        <family val="2"/>
      </rPr>
      <t xml:space="preserve"> – via </t>
    </r>
    <r>
      <rPr>
        <b/>
        <sz val="10"/>
        <color theme="1"/>
        <rFont val="Arial"/>
        <family val="2"/>
      </rPr>
      <t>Truvalue Labs</t>
    </r>
    <r>
      <rPr>
        <sz val="10"/>
        <color theme="1"/>
        <rFont val="Arial"/>
        <family val="2"/>
      </rPr>
      <t xml:space="preserve"> (förvärvsavtal 2020) integrerat i plattformen.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</si>
</sst>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/mm/dd;@"/>
  </numFmts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4" fontId="2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right"/>
    </xf>
    <xf numFmtId="3" fontId="4" fillId="0" borderId="0" xfId="0" applyNumberFormat="1" applyFont="1"/>
    <xf numFmtId="0" fontId="4" fillId="0" borderId="0" xfId="0" applyFont="1"/>
    <xf numFmtId="9" fontId="4" fillId="0" borderId="0" xfId="0" applyNumberFormat="1" applyFont="1"/>
    <xf numFmtId="9" fontId="2" fillId="0" borderId="0" xfId="0" applyNumberFormat="1" applyFont="1"/>
    <xf numFmtId="0" fontId="5" fillId="0" borderId="0" xfId="1" applyFont="1"/>
    <xf numFmtId="165" fontId="2" fillId="0" borderId="0" xfId="0" applyNumberFormat="1" applyFont="1"/>
    <xf numFmtId="0" fontId="1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5F9BDA-D2BF-446C-9F36-4667C48A9AC4}">
  <dimension ref="B2:M19"/>
  <sheetViews>
    <sheetView workbookViewId="0">
      <selection activeCell="K29" sqref="K29"/>
    </sheetView>
  </sheetViews>
  <sheetFormatPr defaultColWidth="8.7109375" defaultRowHeight="12.75" x14ac:dyDescent="0.2"/>
  <cols>
    <col min="1" max="16384" width="8.7109375" style="1"/>
  </cols>
  <sheetData>
    <row r="2" spans="2:13" x14ac:dyDescent="0.2">
      <c r="B2" s="1" t="s">
        <v>0</v>
      </c>
      <c r="K2" s="1" t="s">
        <v>1</v>
      </c>
      <c r="L2" s="2">
        <v>368</v>
      </c>
    </row>
    <row r="3" spans="2:13" x14ac:dyDescent="0.2">
      <c r="K3" s="1" t="s">
        <v>2</v>
      </c>
      <c r="L3" s="3">
        <v>37.806773999999997</v>
      </c>
      <c r="M3" s="4" t="s">
        <v>7</v>
      </c>
    </row>
    <row r="4" spans="2:13" x14ac:dyDescent="0.2">
      <c r="K4" s="1" t="s">
        <v>3</v>
      </c>
      <c r="L4" s="3">
        <f>+L2*L3</f>
        <v>13912.892832</v>
      </c>
      <c r="M4" s="4"/>
    </row>
    <row r="5" spans="2:13" x14ac:dyDescent="0.2">
      <c r="K5" s="1" t="s">
        <v>4</v>
      </c>
      <c r="L5" s="3">
        <v>364</v>
      </c>
      <c r="M5" s="4" t="s">
        <v>7</v>
      </c>
    </row>
    <row r="6" spans="2:13" x14ac:dyDescent="0.2">
      <c r="K6" s="1" t="s">
        <v>5</v>
      </c>
      <c r="L6" s="3">
        <v>1430</v>
      </c>
      <c r="M6" s="4" t="s">
        <v>7</v>
      </c>
    </row>
    <row r="7" spans="2:13" x14ac:dyDescent="0.2">
      <c r="K7" s="1" t="s">
        <v>6</v>
      </c>
      <c r="L7" s="3">
        <f>+L4-L5+L6</f>
        <v>14978.892832</v>
      </c>
    </row>
    <row r="10" spans="2:13" x14ac:dyDescent="0.2">
      <c r="K10" s="11" t="s">
        <v>38</v>
      </c>
    </row>
    <row r="11" spans="2:13" x14ac:dyDescent="0.2">
      <c r="K11" s="1" t="s">
        <v>37</v>
      </c>
    </row>
    <row r="14" spans="2:13" x14ac:dyDescent="0.2">
      <c r="B14" s="6" t="s">
        <v>39</v>
      </c>
    </row>
    <row r="15" spans="2:13" x14ac:dyDescent="0.2">
      <c r="B15" s="6" t="s">
        <v>40</v>
      </c>
    </row>
    <row r="16" spans="2:13" x14ac:dyDescent="0.2">
      <c r="B16" s="6" t="s">
        <v>41</v>
      </c>
    </row>
    <row r="17" spans="2:11" x14ac:dyDescent="0.2">
      <c r="B17" s="6" t="s">
        <v>42</v>
      </c>
      <c r="C17" s="11"/>
      <c r="D17" s="11"/>
      <c r="E17" s="11"/>
      <c r="F17" s="11"/>
      <c r="G17" s="11"/>
      <c r="H17" s="11"/>
      <c r="I17" s="11"/>
      <c r="J17" s="11"/>
      <c r="K17" s="11"/>
    </row>
    <row r="18" spans="2:11" x14ac:dyDescent="0.2">
      <c r="B18" s="6" t="s">
        <v>43</v>
      </c>
    </row>
    <row r="19" spans="2:11" x14ac:dyDescent="0.2">
      <c r="B19" s="6" t="s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864B9-A3B3-4CF9-8EAC-C92C912F365A}">
  <dimension ref="A1:Q43"/>
  <sheetViews>
    <sheetView tabSelected="1" zoomScaleNormal="100" workbookViewId="0">
      <pane xSplit="2" ySplit="2" topLeftCell="D3" activePane="bottomRight" state="frozen"/>
      <selection pane="topRight" activeCell="C1" sqref="C1"/>
      <selection pane="bottomLeft" activeCell="A3" sqref="A3"/>
      <selection pane="bottomRight" activeCell="Q43" sqref="Q43"/>
    </sheetView>
  </sheetViews>
  <sheetFormatPr defaultColWidth="8.7109375" defaultRowHeight="12.75" x14ac:dyDescent="0.2"/>
  <cols>
    <col min="1" max="1" width="4.7109375" style="1" bestFit="1" customWidth="1"/>
    <col min="2" max="2" width="15.28515625" style="1" bestFit="1" customWidth="1"/>
    <col min="3" max="10" width="10.140625" style="1" bestFit="1" customWidth="1"/>
    <col min="11" max="14" width="8.7109375" style="1"/>
    <col min="15" max="17" width="10.140625" style="1" bestFit="1" customWidth="1"/>
    <col min="18" max="16384" width="8.7109375" style="1"/>
  </cols>
  <sheetData>
    <row r="1" spans="1:17" x14ac:dyDescent="0.2">
      <c r="A1" s="9" t="s">
        <v>8</v>
      </c>
    </row>
    <row r="2" spans="1:17" s="10" customFormat="1" x14ac:dyDescent="0.2">
      <c r="C2" s="10">
        <v>45260</v>
      </c>
      <c r="D2" s="10">
        <v>45351</v>
      </c>
      <c r="E2" s="10">
        <v>45443</v>
      </c>
      <c r="F2" s="10">
        <f>+Q2</f>
        <v>45535</v>
      </c>
      <c r="G2" s="10">
        <v>45626</v>
      </c>
      <c r="H2" s="10">
        <v>45716</v>
      </c>
      <c r="I2" s="10">
        <v>45808</v>
      </c>
      <c r="J2" s="10">
        <v>45900</v>
      </c>
      <c r="O2" s="10">
        <v>44804</v>
      </c>
      <c r="P2" s="10">
        <f>+O2+365</f>
        <v>45169</v>
      </c>
      <c r="Q2" s="10">
        <f>+P2+366</f>
        <v>45535</v>
      </c>
    </row>
    <row r="3" spans="1:17" s="5" customFormat="1" x14ac:dyDescent="0.2">
      <c r="B3" s="5" t="s">
        <v>9</v>
      </c>
      <c r="C3" s="5">
        <v>542.21600000000001</v>
      </c>
      <c r="D3" s="5">
        <v>545.94500000000005</v>
      </c>
      <c r="E3" s="5">
        <v>552.70799999999997</v>
      </c>
      <c r="F3" s="5">
        <f>+Q3-E3-D3-C3</f>
        <v>562.18699999999978</v>
      </c>
      <c r="G3" s="5">
        <v>568.66700000000003</v>
      </c>
      <c r="H3" s="5">
        <v>570.66</v>
      </c>
      <c r="I3" s="5">
        <v>585.52</v>
      </c>
      <c r="O3" s="5">
        <v>1843.8920000000001</v>
      </c>
      <c r="P3" s="5">
        <v>2085.5079999999998</v>
      </c>
      <c r="Q3" s="5">
        <v>2203.056</v>
      </c>
    </row>
    <row r="4" spans="1:17" s="3" customFormat="1" x14ac:dyDescent="0.2">
      <c r="B4" s="3" t="s">
        <v>10</v>
      </c>
      <c r="C4" s="3">
        <v>251.62100000000001</v>
      </c>
      <c r="D4" s="3">
        <v>255.142</v>
      </c>
      <c r="E4" s="3">
        <v>246.98599999999999</v>
      </c>
      <c r="F4" s="3">
        <f>+Q4-E4-D4-C4</f>
        <v>258.19600000000003</v>
      </c>
      <c r="G4" s="3">
        <v>258.779</v>
      </c>
      <c r="H4" s="3">
        <v>269.60399999999998</v>
      </c>
      <c r="I4" s="3">
        <v>280.72899999999998</v>
      </c>
      <c r="O4" s="3">
        <v>871.10599999999999</v>
      </c>
      <c r="P4" s="3">
        <v>973.22500000000002</v>
      </c>
      <c r="Q4" s="3">
        <v>1011.9450000000001</v>
      </c>
    </row>
    <row r="5" spans="1:17" s="3" customFormat="1" x14ac:dyDescent="0.2">
      <c r="B5" s="3" t="s">
        <v>11</v>
      </c>
      <c r="C5" s="3">
        <f t="shared" ref="C5:I5" si="0">+C3-C4</f>
        <v>290.59500000000003</v>
      </c>
      <c r="D5" s="3">
        <f t="shared" si="0"/>
        <v>290.80300000000005</v>
      </c>
      <c r="E5" s="3">
        <f t="shared" si="0"/>
        <v>305.72199999999998</v>
      </c>
      <c r="F5" s="3">
        <f t="shared" si="0"/>
        <v>303.99099999999976</v>
      </c>
      <c r="G5" s="3">
        <f t="shared" si="0"/>
        <v>309.88800000000003</v>
      </c>
      <c r="H5" s="3">
        <f t="shared" si="0"/>
        <v>301.05599999999998</v>
      </c>
      <c r="I5" s="3">
        <f t="shared" si="0"/>
        <v>304.791</v>
      </c>
      <c r="O5" s="3">
        <f>+O3-O4</f>
        <v>972.78600000000006</v>
      </c>
      <c r="P5" s="3">
        <f>+P3-P4</f>
        <v>1112.2829999999999</v>
      </c>
      <c r="Q5" s="3">
        <f>+Q3-Q4</f>
        <v>1191.1109999999999</v>
      </c>
    </row>
    <row r="6" spans="1:17" s="3" customFormat="1" x14ac:dyDescent="0.2">
      <c r="B6" s="3" t="s">
        <v>12</v>
      </c>
      <c r="C6" s="3">
        <v>101.55500000000001</v>
      </c>
      <c r="D6" s="3">
        <v>108.861</v>
      </c>
      <c r="E6" s="3">
        <v>103.26300000000001</v>
      </c>
      <c r="F6" s="3">
        <f>+Q6-E6-D6-C6</f>
        <v>171.45599999999996</v>
      </c>
      <c r="G6" s="3">
        <v>118.553</v>
      </c>
      <c r="H6" s="3">
        <v>115.56399999999999</v>
      </c>
      <c r="I6" s="3">
        <v>110.636</v>
      </c>
      <c r="O6" s="3">
        <v>433.03199999999998</v>
      </c>
      <c r="P6" s="3">
        <v>457.13</v>
      </c>
      <c r="Q6" s="3">
        <v>485.13499999999999</v>
      </c>
    </row>
    <row r="7" spans="1:17" s="3" customFormat="1" x14ac:dyDescent="0.2">
      <c r="B7" s="3" t="s">
        <v>13</v>
      </c>
      <c r="C7" s="3">
        <f t="shared" ref="C7:I7" si="1">+C5-C6</f>
        <v>189.04000000000002</v>
      </c>
      <c r="D7" s="3">
        <f t="shared" si="1"/>
        <v>181.94200000000006</v>
      </c>
      <c r="E7" s="3">
        <f t="shared" si="1"/>
        <v>202.45899999999997</v>
      </c>
      <c r="F7" s="3">
        <f t="shared" si="1"/>
        <v>132.5349999999998</v>
      </c>
      <c r="G7" s="3">
        <f t="shared" si="1"/>
        <v>191.33500000000004</v>
      </c>
      <c r="H7" s="3">
        <f t="shared" si="1"/>
        <v>185.49199999999999</v>
      </c>
      <c r="I7" s="3">
        <f t="shared" si="1"/>
        <v>194.155</v>
      </c>
      <c r="O7" s="3">
        <f>+O5-O6</f>
        <v>539.75400000000013</v>
      </c>
      <c r="P7" s="3">
        <f>+P5-P6</f>
        <v>655.15299999999991</v>
      </c>
      <c r="Q7" s="3">
        <f>+Q5-Q6</f>
        <v>705.97599999999989</v>
      </c>
    </row>
    <row r="8" spans="1:17" s="3" customFormat="1" x14ac:dyDescent="0.2">
      <c r="B8" s="3" t="s">
        <v>14</v>
      </c>
      <c r="C8" s="3">
        <v>-13.843999999999999</v>
      </c>
      <c r="D8" s="3">
        <f>2.847-16.599+0.455</f>
        <v>-13.297000000000001</v>
      </c>
      <c r="E8" s="3">
        <f>4.568-16.894</f>
        <v>-12.325999999999999</v>
      </c>
      <c r="F8" s="3">
        <f>+Q8-E8-D8-C8</f>
        <v>-10.328999999999999</v>
      </c>
      <c r="G8" s="3">
        <f>2.701-14.4+0.103</f>
        <v>-11.596</v>
      </c>
      <c r="H8" s="3">
        <f>0.273-13.916+0.471</f>
        <v>-13.172000000000001</v>
      </c>
      <c r="I8" s="3">
        <f>1.509-15.122-0.594</f>
        <v>-14.206999999999999</v>
      </c>
      <c r="O8" s="3">
        <v>-31.888000000000002</v>
      </c>
      <c r="P8" s="3">
        <v>-45.253</v>
      </c>
      <c r="Q8" s="3">
        <v>-49.795999999999999</v>
      </c>
    </row>
    <row r="9" spans="1:17" s="3" customFormat="1" x14ac:dyDescent="0.2">
      <c r="B9" s="3" t="s">
        <v>15</v>
      </c>
      <c r="C9" s="3">
        <f t="shared" ref="C9:I9" si="2">+C7+C8</f>
        <v>175.19600000000003</v>
      </c>
      <c r="D9" s="3">
        <f t="shared" si="2"/>
        <v>168.64500000000007</v>
      </c>
      <c r="E9" s="3">
        <f t="shared" si="2"/>
        <v>190.13299999999998</v>
      </c>
      <c r="F9" s="3">
        <f t="shared" si="2"/>
        <v>122.2059999999998</v>
      </c>
      <c r="G9" s="3">
        <f t="shared" si="2"/>
        <v>179.73900000000003</v>
      </c>
      <c r="H9" s="3">
        <f t="shared" si="2"/>
        <v>172.32</v>
      </c>
      <c r="I9" s="3">
        <f t="shared" si="2"/>
        <v>179.94800000000001</v>
      </c>
      <c r="O9" s="3">
        <f>+O7+O8</f>
        <v>507.86600000000016</v>
      </c>
      <c r="P9" s="3">
        <f>+P7+P8</f>
        <v>609.89999999999986</v>
      </c>
      <c r="Q9" s="3">
        <f>+Q7+Q8</f>
        <v>656.17999999999984</v>
      </c>
    </row>
    <row r="10" spans="1:17" s="3" customFormat="1" x14ac:dyDescent="0.2">
      <c r="B10" s="3" t="s">
        <v>17</v>
      </c>
      <c r="C10" s="3">
        <v>26.640999999999998</v>
      </c>
      <c r="D10" s="3">
        <v>27.704999999999998</v>
      </c>
      <c r="E10" s="3">
        <v>32.396999999999998</v>
      </c>
      <c r="F10" s="3">
        <f>+Q10-E10-D10-C10</f>
        <v>27.633999999999993</v>
      </c>
      <c r="G10" s="3">
        <v>29.716999999999999</v>
      </c>
      <c r="H10" s="3">
        <v>27.46</v>
      </c>
      <c r="I10" s="3">
        <v>31.405999999999999</v>
      </c>
      <c r="O10" s="3">
        <v>46.677</v>
      </c>
      <c r="P10" s="3">
        <v>115.78100000000001</v>
      </c>
      <c r="Q10" s="3">
        <v>114.377</v>
      </c>
    </row>
    <row r="11" spans="1:17" s="3" customFormat="1" x14ac:dyDescent="0.2">
      <c r="B11" s="3" t="s">
        <v>16</v>
      </c>
      <c r="C11" s="3">
        <f t="shared" ref="C11:I11" si="3">+C9-C10</f>
        <v>148.55500000000004</v>
      </c>
      <c r="D11" s="3">
        <f t="shared" si="3"/>
        <v>140.94000000000005</v>
      </c>
      <c r="E11" s="3">
        <f t="shared" si="3"/>
        <v>157.73599999999999</v>
      </c>
      <c r="F11" s="3">
        <f t="shared" si="3"/>
        <v>94.571999999999804</v>
      </c>
      <c r="G11" s="3">
        <f t="shared" si="3"/>
        <v>150.02200000000005</v>
      </c>
      <c r="H11" s="3">
        <f t="shared" si="3"/>
        <v>144.85999999999999</v>
      </c>
      <c r="I11" s="3">
        <f t="shared" si="3"/>
        <v>148.542</v>
      </c>
      <c r="O11" s="3">
        <f>+O9-O10</f>
        <v>461.18900000000014</v>
      </c>
      <c r="P11" s="3">
        <f>+P9-P10</f>
        <v>494.11899999999986</v>
      </c>
      <c r="Q11" s="3">
        <f>+Q9-Q10</f>
        <v>541.80299999999988</v>
      </c>
    </row>
    <row r="12" spans="1:17" x14ac:dyDescent="0.2">
      <c r="B12" s="1" t="s">
        <v>18</v>
      </c>
      <c r="C12" s="2">
        <f t="shared" ref="C12:I12" si="4">+C11/C13</f>
        <v>3.8442926273840032</v>
      </c>
      <c r="D12" s="2">
        <f t="shared" si="4"/>
        <v>3.6465717981888761</v>
      </c>
      <c r="E12" s="2">
        <f t="shared" si="4"/>
        <v>4.0821946169772252</v>
      </c>
      <c r="F12" s="2">
        <f t="shared" si="4"/>
        <v>2.4489098347920608</v>
      </c>
      <c r="G12" s="2">
        <f t="shared" si="4"/>
        <v>3.8949554742061956</v>
      </c>
      <c r="H12" s="2">
        <f t="shared" si="4"/>
        <v>3.7616203583484809</v>
      </c>
      <c r="I12" s="2">
        <f t="shared" si="4"/>
        <v>3.8739307323179637</v>
      </c>
      <c r="O12" s="2">
        <f>+O11/O13</f>
        <v>11.90595311854606</v>
      </c>
      <c r="P12" s="2">
        <f>+P11/P13</f>
        <v>12.70294102524551</v>
      </c>
      <c r="Q12" s="2">
        <f>+Q11/Q13</f>
        <v>14.029804754259668</v>
      </c>
    </row>
    <row r="13" spans="1:17" s="3" customFormat="1" x14ac:dyDescent="0.2">
      <c r="B13" s="3" t="s">
        <v>2</v>
      </c>
      <c r="C13" s="3">
        <v>38.643000000000001</v>
      </c>
      <c r="D13" s="3">
        <v>38.65</v>
      </c>
      <c r="E13" s="3">
        <v>38.64</v>
      </c>
      <c r="F13" s="3">
        <f>+Q13</f>
        <v>38.618000000000002</v>
      </c>
      <c r="G13" s="3">
        <v>38.517000000000003</v>
      </c>
      <c r="H13" s="3">
        <v>38.51</v>
      </c>
      <c r="I13" s="3">
        <v>38.344000000000001</v>
      </c>
      <c r="O13" s="3">
        <v>38.735999999999997</v>
      </c>
      <c r="P13" s="3">
        <v>38.898000000000003</v>
      </c>
      <c r="Q13" s="3">
        <v>38.618000000000002</v>
      </c>
    </row>
    <row r="15" spans="1:17" s="6" customFormat="1" x14ac:dyDescent="0.2">
      <c r="B15" s="5" t="s">
        <v>19</v>
      </c>
      <c r="C15" s="5"/>
      <c r="G15" s="7">
        <f>+G3/C3-1</f>
        <v>4.8783141773758087E-2</v>
      </c>
      <c r="H15" s="7">
        <f>+H3/D3-1</f>
        <v>4.5270127943290772E-2</v>
      </c>
      <c r="I15" s="7">
        <f>+I3/E3-1</f>
        <v>5.9365885784175454E-2</v>
      </c>
      <c r="P15" s="7">
        <f>+P3/O3-1</f>
        <v>0.13103587411844053</v>
      </c>
      <c r="Q15" s="7">
        <f>+Q3/P3-1</f>
        <v>5.6364204788473815E-2</v>
      </c>
    </row>
    <row r="16" spans="1:17" x14ac:dyDescent="0.2">
      <c r="B16" s="1" t="s">
        <v>20</v>
      </c>
      <c r="C16" s="8">
        <f t="shared" ref="C16:I16" si="5">+C5/C3</f>
        <v>0.53593955176534813</v>
      </c>
      <c r="D16" s="8">
        <f t="shared" si="5"/>
        <v>0.5326598833215801</v>
      </c>
      <c r="E16" s="8">
        <f t="shared" si="5"/>
        <v>0.55313474746158908</v>
      </c>
      <c r="F16" s="8">
        <f t="shared" si="5"/>
        <v>0.54072933027622461</v>
      </c>
      <c r="G16" s="8">
        <f t="shared" si="5"/>
        <v>0.54493754692992558</v>
      </c>
      <c r="H16" s="8">
        <f t="shared" si="5"/>
        <v>0.52755756492482386</v>
      </c>
      <c r="I16" s="8">
        <f t="shared" si="5"/>
        <v>0.52054754747916387</v>
      </c>
      <c r="O16" s="8">
        <f t="shared" ref="O16:Q16" si="6">+O5/O3</f>
        <v>0.52757211376805146</v>
      </c>
      <c r="P16" s="8">
        <f t="shared" si="6"/>
        <v>0.53333911929371647</v>
      </c>
      <c r="Q16" s="8">
        <f t="shared" si="6"/>
        <v>0.54066306076649884</v>
      </c>
    </row>
    <row r="19" spans="2:9" x14ac:dyDescent="0.2">
      <c r="B19" s="1" t="s">
        <v>36</v>
      </c>
      <c r="I19" s="3">
        <f>+I20-I36</f>
        <v>-1066.1519999999998</v>
      </c>
    </row>
    <row r="20" spans="2:9" s="3" customFormat="1" x14ac:dyDescent="0.2">
      <c r="B20" s="3" t="s">
        <v>4</v>
      </c>
      <c r="I20" s="3">
        <f>356.361+7.684</f>
        <v>364.04500000000002</v>
      </c>
    </row>
    <row r="21" spans="2:9" s="3" customFormat="1" x14ac:dyDescent="0.2">
      <c r="B21" s="3" t="s">
        <v>28</v>
      </c>
      <c r="I21" s="3">
        <v>271.851</v>
      </c>
    </row>
    <row r="22" spans="2:9" s="3" customFormat="1" x14ac:dyDescent="0.2">
      <c r="B22" s="3" t="s">
        <v>27</v>
      </c>
      <c r="I22" s="3">
        <f>63.534+61.048</f>
        <v>124.58199999999999</v>
      </c>
    </row>
    <row r="23" spans="2:9" s="3" customFormat="1" x14ac:dyDescent="0.2">
      <c r="B23" s="3" t="s">
        <v>26</v>
      </c>
      <c r="I23" s="3">
        <v>79.626999999999995</v>
      </c>
    </row>
    <row r="24" spans="2:9" s="3" customFormat="1" x14ac:dyDescent="0.2">
      <c r="B24" s="3" t="s">
        <v>25</v>
      </c>
      <c r="I24" s="3">
        <f>1277.855+1931.21</f>
        <v>3209.0650000000001</v>
      </c>
    </row>
    <row r="25" spans="2:9" s="3" customFormat="1" x14ac:dyDescent="0.2">
      <c r="B25" s="3" t="s">
        <v>24</v>
      </c>
      <c r="I25" s="3">
        <v>66.87</v>
      </c>
    </row>
    <row r="26" spans="2:9" s="3" customFormat="1" x14ac:dyDescent="0.2">
      <c r="B26" s="3" t="s">
        <v>23</v>
      </c>
      <c r="I26" s="3">
        <v>119.191</v>
      </c>
    </row>
    <row r="27" spans="2:9" s="3" customFormat="1" x14ac:dyDescent="0.2">
      <c r="B27" s="3" t="s">
        <v>22</v>
      </c>
      <c r="I27" s="3">
        <v>103.53100000000001</v>
      </c>
    </row>
    <row r="28" spans="2:9" s="3" customFormat="1" x14ac:dyDescent="0.2">
      <c r="B28" s="3" t="s">
        <v>21</v>
      </c>
      <c r="I28" s="3">
        <f>SUM(I20:I27)</f>
        <v>4338.7619999999997</v>
      </c>
    </row>
    <row r="29" spans="2:9" s="3" customFormat="1" x14ac:dyDescent="0.2"/>
    <row r="30" spans="2:9" s="3" customFormat="1" x14ac:dyDescent="0.2">
      <c r="B30" s="3" t="s">
        <v>29</v>
      </c>
      <c r="I30" s="3">
        <v>144.48699999999999</v>
      </c>
    </row>
    <row r="31" spans="2:9" s="3" customFormat="1" x14ac:dyDescent="0.2">
      <c r="B31" s="3" t="s">
        <v>23</v>
      </c>
      <c r="I31" s="3">
        <f>33.219+157.088</f>
        <v>190.30699999999999</v>
      </c>
    </row>
    <row r="32" spans="2:9" s="3" customFormat="1" x14ac:dyDescent="0.2">
      <c r="B32" s="3" t="s">
        <v>30</v>
      </c>
      <c r="I32" s="3">
        <v>98.131</v>
      </c>
    </row>
    <row r="33" spans="2:17" s="3" customFormat="1" x14ac:dyDescent="0.2">
      <c r="B33" s="3" t="s">
        <v>31</v>
      </c>
      <c r="I33" s="3">
        <f>170.897+0.312</f>
        <v>171.209</v>
      </c>
    </row>
    <row r="34" spans="2:17" s="3" customFormat="1" x14ac:dyDescent="0.2">
      <c r="B34" s="3" t="s">
        <v>17</v>
      </c>
      <c r="I34" s="3">
        <f>30.545+16.573+48.072</f>
        <v>95.19</v>
      </c>
    </row>
    <row r="35" spans="2:17" s="3" customFormat="1" x14ac:dyDescent="0.2">
      <c r="B35" s="3" t="s">
        <v>32</v>
      </c>
      <c r="I35" s="3">
        <v>41.643999999999998</v>
      </c>
    </row>
    <row r="36" spans="2:17" s="3" customFormat="1" x14ac:dyDescent="0.2">
      <c r="B36" s="3" t="s">
        <v>5</v>
      </c>
      <c r="I36" s="3">
        <v>1430.1969999999999</v>
      </c>
    </row>
    <row r="37" spans="2:17" s="3" customFormat="1" x14ac:dyDescent="0.2">
      <c r="B37" s="3" t="s">
        <v>33</v>
      </c>
      <c r="I37" s="3">
        <v>12.414999999999999</v>
      </c>
    </row>
    <row r="38" spans="2:17" s="3" customFormat="1" x14ac:dyDescent="0.2">
      <c r="B38" s="3" t="s">
        <v>34</v>
      </c>
      <c r="I38" s="3">
        <v>2155.1819999999998</v>
      </c>
    </row>
    <row r="39" spans="2:17" s="3" customFormat="1" x14ac:dyDescent="0.2">
      <c r="B39" s="3" t="s">
        <v>35</v>
      </c>
      <c r="I39" s="3">
        <f>SUM(I30:I38)</f>
        <v>4338.7619999999997</v>
      </c>
    </row>
    <row r="41" spans="2:17" x14ac:dyDescent="0.2">
      <c r="O41" s="3">
        <v>538.27700000000004</v>
      </c>
      <c r="P41" s="3">
        <v>645.57299999999998</v>
      </c>
      <c r="Q41" s="3">
        <v>700.33799999999997</v>
      </c>
    </row>
    <row r="42" spans="2:17" x14ac:dyDescent="0.2">
      <c r="O42" s="3">
        <v>51.155999999999999</v>
      </c>
      <c r="P42" s="3">
        <v>60.786000000000001</v>
      </c>
      <c r="Q42" s="3">
        <v>85.680999999999997</v>
      </c>
    </row>
    <row r="43" spans="2:17" x14ac:dyDescent="0.2">
      <c r="O43" s="3">
        <f>+O41-O42</f>
        <v>487.12100000000004</v>
      </c>
      <c r="P43" s="3">
        <f>+P41-P42</f>
        <v>584.78700000000003</v>
      </c>
      <c r="Q43" s="3">
        <f>+Q41-Q42</f>
        <v>614.65699999999993</v>
      </c>
    </row>
  </sheetData>
  <hyperlinks>
    <hyperlink ref="A1" location="Main!A1" display="Main" xr:uid="{EBDB402E-B773-4480-AAA3-E27CF3523AD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2025-09-02T21:17:02Z</dcterms:created>
  <dcterms:modified xsi:type="dcterms:W3CDTF">2025-10-13T09:46:44Z</dcterms:modified>
</cp:coreProperties>
</file>