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1CBF1F2-EAE5-4B75-8CA0-F90707D23E76}" xr6:coauthVersionLast="47" xr6:coauthVersionMax="47" xr10:uidLastSave="{00000000-0000-0000-0000-000000000000}"/>
  <bookViews>
    <workbookView xWindow="4710" yWindow="4710" windowWidth="18075" windowHeight="16020" activeTab="1" xr2:uid="{BA785A4D-305E-2E4F-AA17-2384C0947385}"/>
  </bookViews>
  <sheets>
    <sheet name="Main" sheetId="1" r:id="rId1"/>
    <sheet name="Model" sheetId="2" r:id="rId2"/>
    <sheet name="Galaf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0" i="2"/>
  <c r="D5" i="2"/>
  <c r="D7" i="2" s="1"/>
  <c r="J14" i="2"/>
  <c r="J9" i="2"/>
  <c r="J8" i="2"/>
  <c r="J6" i="2"/>
  <c r="J7" i="2" s="1"/>
  <c r="I19" i="2"/>
  <c r="J19" i="2"/>
  <c r="E12" i="2"/>
  <c r="E10" i="2"/>
  <c r="E11" i="2" s="1"/>
  <c r="E7" i="2"/>
  <c r="I12" i="2"/>
  <c r="E5" i="2"/>
  <c r="P12" i="2"/>
  <c r="P10" i="2"/>
  <c r="P7" i="2"/>
  <c r="Q12" i="2"/>
  <c r="Q10" i="2"/>
  <c r="Q7" i="2"/>
  <c r="R12" i="2"/>
  <c r="J12" i="2" s="1"/>
  <c r="R10" i="2"/>
  <c r="R7" i="2"/>
  <c r="Q2" i="2"/>
  <c r="R2" i="2" s="1"/>
  <c r="S2" i="2" s="1"/>
  <c r="T2" i="2" s="1"/>
  <c r="U2" i="2" s="1"/>
  <c r="V2" i="2" s="1"/>
  <c r="F12" i="2"/>
  <c r="F10" i="2"/>
  <c r="F5" i="2"/>
  <c r="F7" i="2" s="1"/>
  <c r="F11" i="2" s="1"/>
  <c r="F13" i="2" s="1"/>
  <c r="F15" i="2" s="1"/>
  <c r="L21" i="2"/>
  <c r="G12" i="2"/>
  <c r="G10" i="2"/>
  <c r="K12" i="2"/>
  <c r="G5" i="2"/>
  <c r="G7" i="2" s="1"/>
  <c r="H12" i="2"/>
  <c r="L12" i="2"/>
  <c r="K10" i="2"/>
  <c r="I10" i="2"/>
  <c r="H10" i="2"/>
  <c r="L10" i="2"/>
  <c r="L5" i="2"/>
  <c r="L19" i="2" s="1"/>
  <c r="K5" i="2"/>
  <c r="K7" i="2" s="1"/>
  <c r="J5" i="2"/>
  <c r="I5" i="2"/>
  <c r="I7" i="2" s="1"/>
  <c r="H5" i="2"/>
  <c r="H19" i="2" s="1"/>
  <c r="M7" i="1"/>
  <c r="M5" i="1"/>
  <c r="M4" i="1"/>
  <c r="E13" i="2" l="1"/>
  <c r="E15" i="2" s="1"/>
  <c r="H7" i="2"/>
  <c r="I11" i="2"/>
  <c r="I13" i="2" s="1"/>
  <c r="I15" i="2" s="1"/>
  <c r="R11" i="2"/>
  <c r="R13" i="2" s="1"/>
  <c r="R15" i="2" s="1"/>
  <c r="R16" i="2" s="1"/>
  <c r="D11" i="2"/>
  <c r="D13" i="2" s="1"/>
  <c r="D15" i="2" s="1"/>
  <c r="J10" i="2"/>
  <c r="J11" i="2" s="1"/>
  <c r="J13" i="2" s="1"/>
  <c r="J15" i="2" s="1"/>
  <c r="P11" i="2"/>
  <c r="P13" i="2" s="1"/>
  <c r="P15" i="2" s="1"/>
  <c r="P16" i="2" s="1"/>
  <c r="Q11" i="2"/>
  <c r="Q13" i="2" s="1"/>
  <c r="Q15" i="2" s="1"/>
  <c r="Q16" i="2" s="1"/>
  <c r="L7" i="2"/>
  <c r="L11" i="2" s="1"/>
  <c r="L13" i="2" s="1"/>
  <c r="L15" i="2" s="1"/>
  <c r="K11" i="2"/>
  <c r="K13" i="2" s="1"/>
  <c r="K15" i="2" s="1"/>
  <c r="K19" i="2"/>
  <c r="G11" i="2"/>
  <c r="G13" i="2" s="1"/>
  <c r="G15" i="2" s="1"/>
  <c r="H11" i="2"/>
  <c r="H13" i="2" s="1"/>
  <c r="H15" i="2" s="1"/>
</calcChain>
</file>

<file path=xl/sharedStrings.xml><?xml version="1.0" encoding="utf-8"?>
<sst xmlns="http://schemas.openxmlformats.org/spreadsheetml/2006/main" count="57" uniqueCount="48">
  <si>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</si>
  <si>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</si>
  <si>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</si>
  <si>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</si>
  <si>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</si>
  <si>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</si>
  <si>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</si>
  <si>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</si>
  <si>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</si>
  <si>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Galafold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</si>
  <si>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</si>
  <si>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</si>
  <si>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</si>
  <si>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</si>
  <si>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</si>
  <si>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</si>
  <si>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</si>
  <si>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</si>
  <si>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</si>
  <si>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</si>
  <si>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</si>
  <si>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Pombiliti/Opfolda</t>
  </si>
  <si>
    <t>Operating Income</t>
  </si>
  <si>
    <t>Operating Expenses</t>
  </si>
  <si>
    <t>SG&amp;A</t>
  </si>
  <si>
    <t>R&amp;D</t>
  </si>
  <si>
    <t>Gross Profit</t>
  </si>
  <si>
    <t>COGS</t>
  </si>
  <si>
    <t>Net Income</t>
  </si>
  <si>
    <t>Pretax Income</t>
  </si>
  <si>
    <t>Taxes</t>
  </si>
  <si>
    <t>Interest Income</t>
  </si>
  <si>
    <t>Brand</t>
  </si>
  <si>
    <t>Name</t>
  </si>
  <si>
    <t>Galafold (migalastat)</t>
  </si>
  <si>
    <t>Pombiliti (cipaglucosidase)</t>
  </si>
  <si>
    <t>Indication</t>
  </si>
  <si>
    <t>Pompe Disease</t>
  </si>
  <si>
    <t>CEO: Bradley Campbell replaced John Crowley</t>
  </si>
  <si>
    <t>Fabry Disease</t>
  </si>
  <si>
    <t>Revenue y/y</t>
  </si>
  <si>
    <t>AR</t>
  </si>
  <si>
    <t>Inventories</t>
  </si>
  <si>
    <t>EPS</t>
  </si>
  <si>
    <t>IP</t>
  </si>
  <si>
    <t>COM expired</t>
  </si>
  <si>
    <t>Generic</t>
  </si>
  <si>
    <t>migalastat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</si>
</sst>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4" fillId="0" borderId="0" xfId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 applyAlignment="1">
      <alignment horizontal="right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48846</xdr:colOff>
      <xdr:row>0</xdr:row>
      <xdr:rowOff>48846</xdr:rowOff>
    </xdr:from>
    <xdr:to>
      <xdr:col>12</xdr:col>
      <xdr:colOff>48846</xdr:colOff>
      <xdr:row>39</xdr:row>
      <xdr:rowOff>156308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490C71-0B39-2EDD-4FC2-31D040214DB2}"/>
            </a:ext>
          </a:extLst>
        </xdr:cNvPr>
        <xdr:cNvCxnSpPr/>
      </xdr:nvCxnSpPr>
      <xdr:spPr>
        <a:xfrm>
          <a:off x="8567615" y="48846"/>
          <a:ext cx="0" cy="64183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426E-9394-4D47-AFAE-8E26739B117E}">
  <dimension ref="B2:N11"/>
  <sheetViews>
    <sheetView zoomScaleNormal="100" workbookViewId="0">
      <selection activeCell="N7" sqref="N7"/>
    </sheetView>
  </sheetViews>
  <sheetFormatPr defaultColWidth="10.875" defaultRowHeight="12.75" x14ac:dyDescent="0.2"/>
  <cols>
    <col min="1" max="1" width="7" style="2" customWidth="1"/>
    <col min="2" max="2" width="22" style="2" customWidth="1"/>
    <col min="3" max="3" width="13.375" style="2" bestFit="1" customWidth="1"/>
    <col min="4" max="11" width="7" style="2" customWidth="1"/>
    <col min="12" max="12" width="9.625" style="2" customWidth="1"/>
    <col min="13" max="13" width="8.625" style="2" customWidth="1"/>
    <col min="14" max="14" width="8.125" style="2" customWidth="1"/>
    <col min="15" max="16384" width="10.875" style="2"/>
  </cols>
  <sheetData>
    <row r="2" spans="2:14" x14ac:dyDescent="0.2">
      <c r="B2" s="14" t="s">
        <v>33</v>
      </c>
      <c r="C2" s="15" t="s">
        <v>36</v>
      </c>
      <c r="D2" s="15"/>
      <c r="E2" s="15"/>
      <c r="F2" s="15"/>
      <c r="G2" s="15"/>
      <c r="H2" s="15"/>
      <c r="I2" s="15"/>
      <c r="J2" s="16"/>
      <c r="L2" s="2" t="s">
        <v>0</v>
      </c>
      <c r="M2" s="1">
        <v>10.41</v>
      </c>
    </row>
    <row r="3" spans="2:14" x14ac:dyDescent="0.2">
      <c r="B3" s="18" t="s">
        <v>34</v>
      </c>
      <c r="C3" s="2" t="s">
        <v>39</v>
      </c>
      <c r="J3" s="10"/>
      <c r="L3" s="2" t="s">
        <v>1</v>
      </c>
      <c r="M3" s="3">
        <v>296.59093100000001</v>
      </c>
      <c r="N3" s="4" t="s">
        <v>6</v>
      </c>
    </row>
    <row r="4" spans="2:14" x14ac:dyDescent="0.2">
      <c r="B4" s="9" t="s">
        <v>35</v>
      </c>
      <c r="C4" s="2" t="s">
        <v>37</v>
      </c>
      <c r="J4" s="10"/>
      <c r="L4" s="2" t="s">
        <v>2</v>
      </c>
      <c r="M4" s="3">
        <f>+M2*M3</f>
        <v>3087.5115917100002</v>
      </c>
    </row>
    <row r="5" spans="2:14" x14ac:dyDescent="0.2">
      <c r="B5" s="9"/>
      <c r="J5" s="10"/>
      <c r="L5" s="2" t="s">
        <v>3</v>
      </c>
      <c r="M5" s="3">
        <f>209.335+50.727</f>
        <v>260.06200000000001</v>
      </c>
      <c r="N5" s="4" t="s">
        <v>6</v>
      </c>
    </row>
    <row r="6" spans="2:14" x14ac:dyDescent="0.2">
      <c r="B6" s="9"/>
      <c r="J6" s="10"/>
      <c r="L6" s="2" t="s">
        <v>4</v>
      </c>
      <c r="M6" s="3">
        <v>388.93900000000002</v>
      </c>
      <c r="N6" s="4" t="s">
        <v>6</v>
      </c>
    </row>
    <row r="7" spans="2:14" x14ac:dyDescent="0.2">
      <c r="B7" s="9"/>
      <c r="J7" s="10"/>
      <c r="L7" s="2" t="s">
        <v>5</v>
      </c>
      <c r="M7" s="3">
        <f>+M4-M5+M6</f>
        <v>3216.3885917100001</v>
      </c>
    </row>
    <row r="8" spans="2:14" x14ac:dyDescent="0.2">
      <c r="B8" s="9"/>
      <c r="J8" s="10"/>
    </row>
    <row r="9" spans="2:14" x14ac:dyDescent="0.2">
      <c r="B9" s="9"/>
      <c r="J9" s="10"/>
    </row>
    <row r="10" spans="2:14" x14ac:dyDescent="0.2">
      <c r="B10" s="9"/>
      <c r="J10" s="10"/>
      <c r="L10" s="2" t="s">
        <v>38</v>
      </c>
    </row>
    <row r="11" spans="2:14" x14ac:dyDescent="0.2">
      <c r="B11" s="11"/>
      <c r="C11" s="12"/>
      <c r="D11" s="12"/>
      <c r="E11" s="12"/>
      <c r="F11" s="12"/>
      <c r="G11" s="12"/>
      <c r="H11" s="12"/>
      <c r="I11" s="12"/>
      <c r="J11" s="13"/>
    </row>
  </sheetData>
  <hyperlinks>
    <hyperlink ref="B3" location="Galafold!A1" display="Galafold (migalastat)" xr:uid="{ADE0BC21-E42D-624C-828A-B4E1A9EA73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AECB-C3B8-C045-B6B6-0D8BC4496780}">
  <dimension ref="A1:V2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5" sqref="L25"/>
    </sheetView>
  </sheetViews>
  <sheetFormatPr defaultColWidth="10.875" defaultRowHeight="12.75" x14ac:dyDescent="0.2"/>
  <cols>
    <col min="1" max="1" width="4.875" style="2" bestFit="1" customWidth="1"/>
    <col min="2" max="2" width="17.125" style="2" bestFit="1" customWidth="1"/>
    <col min="3" max="14" width="9" style="4" customWidth="1"/>
    <col min="15" max="15" width="10.875" style="2"/>
    <col min="16" max="21" width="7" style="2" customWidth="1"/>
    <col min="22" max="16384" width="10.875" style="2"/>
  </cols>
  <sheetData>
    <row r="1" spans="1:22" x14ac:dyDescent="0.2">
      <c r="A1" s="8" t="s">
        <v>7</v>
      </c>
    </row>
    <row r="2" spans="1:22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6</v>
      </c>
      <c r="M2" s="4" t="s">
        <v>19</v>
      </c>
      <c r="N2" s="4" t="s">
        <v>20</v>
      </c>
      <c r="P2" s="2">
        <v>2021</v>
      </c>
      <c r="Q2" s="2">
        <f t="shared" ref="Q2:V2" si="0">+P2+1</f>
        <v>2022</v>
      </c>
      <c r="R2" s="2">
        <f t="shared" si="0"/>
        <v>2023</v>
      </c>
      <c r="S2" s="2">
        <f t="shared" si="0"/>
        <v>2024</v>
      </c>
      <c r="T2" s="2">
        <f t="shared" si="0"/>
        <v>2025</v>
      </c>
      <c r="U2" s="2">
        <f t="shared" si="0"/>
        <v>2026</v>
      </c>
      <c r="V2" s="2">
        <f t="shared" si="0"/>
        <v>2027</v>
      </c>
    </row>
    <row r="3" spans="1:22" s="3" customFormat="1" x14ac:dyDescent="0.2">
      <c r="B3" s="3" t="s">
        <v>9</v>
      </c>
      <c r="C3" s="5"/>
      <c r="D3" s="5">
        <v>80.730999999999995</v>
      </c>
      <c r="E3" s="5">
        <v>81.631</v>
      </c>
      <c r="F3" s="5">
        <v>87.989000000000004</v>
      </c>
      <c r="G3" s="5">
        <v>86.111999999999995</v>
      </c>
      <c r="H3" s="5">
        <v>94.331000000000003</v>
      </c>
      <c r="I3" s="5">
        <v>100.733</v>
      </c>
      <c r="J3" s="5">
        <v>106.6</v>
      </c>
      <c r="K3" s="5">
        <v>99.358999999999995</v>
      </c>
      <c r="L3" s="5">
        <v>110.81699999999999</v>
      </c>
      <c r="M3" s="5"/>
      <c r="N3" s="5"/>
    </row>
    <row r="4" spans="1:22" s="3" customFormat="1" x14ac:dyDescent="0.2">
      <c r="B4" s="3" t="s">
        <v>21</v>
      </c>
      <c r="C4" s="5"/>
      <c r="D4" s="5">
        <v>0</v>
      </c>
      <c r="E4" s="5">
        <v>0.06</v>
      </c>
      <c r="F4" s="5">
        <v>0.107</v>
      </c>
      <c r="G4" s="5">
        <v>0.158</v>
      </c>
      <c r="H4" s="5">
        <v>0.17199999999999999</v>
      </c>
      <c r="I4" s="5">
        <v>2.7679999999999998</v>
      </c>
      <c r="J4" s="5">
        <v>8.4819999999999993</v>
      </c>
      <c r="K4" s="5">
        <v>11.044</v>
      </c>
      <c r="L4" s="5">
        <v>15.852</v>
      </c>
      <c r="M4" s="5"/>
      <c r="N4" s="5"/>
    </row>
    <row r="5" spans="1:22" s="6" customFormat="1" x14ac:dyDescent="0.2">
      <c r="B5" s="6" t="s">
        <v>8</v>
      </c>
      <c r="C5" s="7"/>
      <c r="D5" s="7">
        <f>+D3+D4</f>
        <v>80.730999999999995</v>
      </c>
      <c r="E5" s="7">
        <f>+E3+E4</f>
        <v>81.691000000000003</v>
      </c>
      <c r="F5" s="7">
        <f>+F3+F4</f>
        <v>88.096000000000004</v>
      </c>
      <c r="G5" s="7">
        <f>+G3+G4</f>
        <v>86.27</v>
      </c>
      <c r="H5" s="7">
        <f>+H3+H4</f>
        <v>94.503</v>
      </c>
      <c r="I5" s="7">
        <f t="shared" ref="I5:L5" si="1">+I3+I4</f>
        <v>103.501</v>
      </c>
      <c r="J5" s="7">
        <f t="shared" si="1"/>
        <v>115.08199999999999</v>
      </c>
      <c r="K5" s="7">
        <f t="shared" si="1"/>
        <v>110.40299999999999</v>
      </c>
      <c r="L5" s="7">
        <f t="shared" si="1"/>
        <v>126.669</v>
      </c>
      <c r="M5" s="7"/>
      <c r="N5" s="7"/>
      <c r="P5" s="6">
        <v>305.51400000000001</v>
      </c>
      <c r="Q5" s="6">
        <v>329.233</v>
      </c>
      <c r="R5" s="6">
        <v>399.35599999999999</v>
      </c>
    </row>
    <row r="6" spans="1:22" s="3" customFormat="1" x14ac:dyDescent="0.2">
      <c r="B6" s="3" t="s">
        <v>27</v>
      </c>
      <c r="C6" s="5"/>
      <c r="D6" s="5">
        <v>8.1969999999999992</v>
      </c>
      <c r="E6" s="5">
        <v>13.436</v>
      </c>
      <c r="F6" s="5">
        <v>6.9420000000000002</v>
      </c>
      <c r="G6" s="5">
        <v>6.9420000000000002</v>
      </c>
      <c r="H6" s="5">
        <v>9.1140000000000008</v>
      </c>
      <c r="I6" s="5">
        <v>9.9459999999999997</v>
      </c>
      <c r="J6" s="5">
        <f>+R6-I6-H6-G6</f>
        <v>11.324000000000002</v>
      </c>
      <c r="K6" s="5">
        <v>13.567</v>
      </c>
      <c r="L6" s="5">
        <v>11.260999999999999</v>
      </c>
      <c r="M6" s="5"/>
      <c r="N6" s="5"/>
      <c r="P6" s="3">
        <v>34.466000000000001</v>
      </c>
      <c r="Q6" s="3">
        <v>38.598999999999997</v>
      </c>
      <c r="R6" s="3">
        <v>37.326000000000001</v>
      </c>
    </row>
    <row r="7" spans="1:22" s="3" customFormat="1" x14ac:dyDescent="0.2">
      <c r="B7" s="3" t="s">
        <v>26</v>
      </c>
      <c r="C7" s="5"/>
      <c r="D7" s="5">
        <f t="shared" ref="D7:L7" si="2">+D5-D6</f>
        <v>72.533999999999992</v>
      </c>
      <c r="E7" s="5">
        <f t="shared" si="2"/>
        <v>68.254999999999995</v>
      </c>
      <c r="F7" s="5">
        <f t="shared" si="2"/>
        <v>81.153999999999996</v>
      </c>
      <c r="G7" s="5">
        <f t="shared" si="2"/>
        <v>79.328000000000003</v>
      </c>
      <c r="H7" s="5">
        <f t="shared" si="2"/>
        <v>85.388999999999996</v>
      </c>
      <c r="I7" s="5">
        <f t="shared" si="2"/>
        <v>93.555000000000007</v>
      </c>
      <c r="J7" s="5">
        <f t="shared" si="2"/>
        <v>103.758</v>
      </c>
      <c r="K7" s="5">
        <f t="shared" si="2"/>
        <v>96.835999999999984</v>
      </c>
      <c r="L7" s="5">
        <f t="shared" si="2"/>
        <v>115.408</v>
      </c>
      <c r="M7" s="5"/>
      <c r="N7" s="5"/>
      <c r="P7" s="3">
        <f>+P5-P6</f>
        <v>271.048</v>
      </c>
      <c r="Q7" s="3">
        <f>+Q5-Q6</f>
        <v>290.63400000000001</v>
      </c>
      <c r="R7" s="3">
        <f>+R5-R6</f>
        <v>362.03</v>
      </c>
    </row>
    <row r="8" spans="1:22" s="3" customFormat="1" x14ac:dyDescent="0.2">
      <c r="B8" s="3" t="s">
        <v>25</v>
      </c>
      <c r="C8" s="5"/>
      <c r="D8" s="5">
        <v>78.319000000000003</v>
      </c>
      <c r="E8" s="5">
        <v>52.97</v>
      </c>
      <c r="F8" s="5">
        <v>41.499000000000002</v>
      </c>
      <c r="G8" s="5">
        <v>41.499000000000002</v>
      </c>
      <c r="H8" s="5">
        <v>35.149000000000001</v>
      </c>
      <c r="I8" s="5">
        <v>40.704000000000001</v>
      </c>
      <c r="J8" s="5">
        <f>+R8-I8-H8-G8</f>
        <v>35.028999999999989</v>
      </c>
      <c r="K8" s="5">
        <v>28.329000000000001</v>
      </c>
      <c r="L8" s="5">
        <v>24.683</v>
      </c>
      <c r="M8" s="5"/>
      <c r="N8" s="5"/>
      <c r="P8" s="3">
        <v>272.04899999999998</v>
      </c>
      <c r="Q8" s="3">
        <v>276.67700000000002</v>
      </c>
      <c r="R8" s="3">
        <v>152.381</v>
      </c>
    </row>
    <row r="9" spans="1:22" s="3" customFormat="1" x14ac:dyDescent="0.2">
      <c r="B9" s="3" t="s">
        <v>24</v>
      </c>
      <c r="C9" s="5"/>
      <c r="D9" s="5">
        <v>53.378999999999998</v>
      </c>
      <c r="E9" s="5">
        <v>47.271999999999998</v>
      </c>
      <c r="F9" s="5">
        <v>73.956999999999994</v>
      </c>
      <c r="G9" s="5">
        <v>73.956999999999994</v>
      </c>
      <c r="H9" s="5">
        <v>65.423000000000002</v>
      </c>
      <c r="I9" s="5">
        <v>65.650999999999996</v>
      </c>
      <c r="J9" s="5">
        <f>+R9-I9-H9-G9</f>
        <v>70.238999999999976</v>
      </c>
      <c r="K9" s="5">
        <v>88.028999999999996</v>
      </c>
      <c r="L9" s="5">
        <v>73.575999999999993</v>
      </c>
      <c r="M9" s="5"/>
      <c r="N9" s="5"/>
      <c r="P9" s="3">
        <v>192.71</v>
      </c>
      <c r="Q9" s="3">
        <v>213.041</v>
      </c>
      <c r="R9" s="3">
        <v>275.27</v>
      </c>
    </row>
    <row r="10" spans="1:22" s="3" customFormat="1" x14ac:dyDescent="0.2">
      <c r="B10" s="3" t="s">
        <v>23</v>
      </c>
      <c r="C10" s="5"/>
      <c r="D10" s="5">
        <f t="shared" ref="D10:K10" si="3">+D8+D9</f>
        <v>131.69800000000001</v>
      </c>
      <c r="E10" s="5">
        <f t="shared" si="3"/>
        <v>100.24199999999999</v>
      </c>
      <c r="F10" s="5">
        <f t="shared" si="3"/>
        <v>115.45599999999999</v>
      </c>
      <c r="G10" s="5">
        <f t="shared" si="3"/>
        <v>115.45599999999999</v>
      </c>
      <c r="H10" s="5">
        <f t="shared" si="3"/>
        <v>100.572</v>
      </c>
      <c r="I10" s="5">
        <f t="shared" si="3"/>
        <v>106.35499999999999</v>
      </c>
      <c r="J10" s="5">
        <f t="shared" si="3"/>
        <v>105.26799999999997</v>
      </c>
      <c r="K10" s="5">
        <f t="shared" si="3"/>
        <v>116.358</v>
      </c>
      <c r="L10" s="5">
        <f>+L8+L9</f>
        <v>98.258999999999986</v>
      </c>
      <c r="M10" s="5"/>
      <c r="N10" s="5"/>
      <c r="P10" s="3">
        <f>+P9+P8</f>
        <v>464.75900000000001</v>
      </c>
      <c r="Q10" s="3">
        <f>+Q9+Q8</f>
        <v>489.71800000000002</v>
      </c>
      <c r="R10" s="3">
        <f>+R9+R8</f>
        <v>427.65099999999995</v>
      </c>
    </row>
    <row r="11" spans="1:22" s="3" customFormat="1" x14ac:dyDescent="0.2">
      <c r="B11" s="3" t="s">
        <v>22</v>
      </c>
      <c r="C11" s="5"/>
      <c r="D11" s="5">
        <f t="shared" ref="D11:K11" si="4">+D7-D10</f>
        <v>-59.164000000000016</v>
      </c>
      <c r="E11" s="5">
        <f t="shared" si="4"/>
        <v>-31.986999999999995</v>
      </c>
      <c r="F11" s="5">
        <f t="shared" si="4"/>
        <v>-34.301999999999992</v>
      </c>
      <c r="G11" s="5">
        <f t="shared" si="4"/>
        <v>-36.127999999999986</v>
      </c>
      <c r="H11" s="5">
        <f t="shared" si="4"/>
        <v>-15.183000000000007</v>
      </c>
      <c r="I11" s="5">
        <f t="shared" si="4"/>
        <v>-12.799999999999983</v>
      </c>
      <c r="J11" s="5">
        <f t="shared" si="4"/>
        <v>-1.5099999999999767</v>
      </c>
      <c r="K11" s="5">
        <f t="shared" si="4"/>
        <v>-19.52200000000002</v>
      </c>
      <c r="L11" s="5">
        <f>+L7-L10</f>
        <v>17.149000000000015</v>
      </c>
      <c r="M11" s="5"/>
      <c r="N11" s="5"/>
      <c r="P11" s="3">
        <f>+P7-P10</f>
        <v>-193.71100000000001</v>
      </c>
      <c r="Q11" s="3">
        <f>+Q7-Q10</f>
        <v>-199.084</v>
      </c>
      <c r="R11" s="3">
        <f>+R7-R10</f>
        <v>-65.620999999999981</v>
      </c>
    </row>
    <row r="12" spans="1:22" s="3" customFormat="1" x14ac:dyDescent="0.2">
      <c r="B12" s="3" t="s">
        <v>31</v>
      </c>
      <c r="C12" s="5"/>
      <c r="D12" s="5">
        <f>0.356-8.257</f>
        <v>-7.9009999999999998</v>
      </c>
      <c r="E12" s="5">
        <f>0.563-9.62</f>
        <v>-9.0569999999999986</v>
      </c>
      <c r="F12" s="5">
        <f>2.199-11.844</f>
        <v>-9.6449999999999996</v>
      </c>
      <c r="G12" s="5">
        <f>2.199-11.844</f>
        <v>-9.6449999999999996</v>
      </c>
      <c r="H12" s="5">
        <f>1.737-12.492</f>
        <v>-10.755000000000001</v>
      </c>
      <c r="I12" s="5">
        <f>1.471-12.986</f>
        <v>-11.515000000000001</v>
      </c>
      <c r="J12" s="5">
        <f>+R12-I12-H12-G12</f>
        <v>-27.041999999999991</v>
      </c>
      <c r="K12" s="5">
        <f>1.54-12.436</f>
        <v>-10.896000000000001</v>
      </c>
      <c r="L12" s="5">
        <f>1.37-12.512</f>
        <v>-11.141999999999999</v>
      </c>
      <c r="M12" s="5"/>
      <c r="N12" s="5"/>
      <c r="P12" s="3">
        <f>0.509-32.471</f>
        <v>-31.961999999999996</v>
      </c>
      <c r="Q12" s="3">
        <f>3.024-37.119</f>
        <v>-34.094999999999999</v>
      </c>
      <c r="R12" s="3">
        <f>7.078-50.149-15.886</f>
        <v>-58.956999999999994</v>
      </c>
    </row>
    <row r="13" spans="1:22" s="3" customFormat="1" x14ac:dyDescent="0.2">
      <c r="B13" s="3" t="s">
        <v>29</v>
      </c>
      <c r="C13" s="5"/>
      <c r="D13" s="5">
        <f t="shared" ref="D13:L13" si="5">+D11+D12</f>
        <v>-67.065000000000012</v>
      </c>
      <c r="E13" s="5">
        <f t="shared" si="5"/>
        <v>-41.043999999999997</v>
      </c>
      <c r="F13" s="5">
        <f t="shared" si="5"/>
        <v>-43.946999999999989</v>
      </c>
      <c r="G13" s="5">
        <f t="shared" si="5"/>
        <v>-45.772999999999982</v>
      </c>
      <c r="H13" s="5">
        <f t="shared" si="5"/>
        <v>-25.938000000000009</v>
      </c>
      <c r="I13" s="5">
        <f t="shared" si="5"/>
        <v>-24.314999999999984</v>
      </c>
      <c r="J13" s="5">
        <f t="shared" si="5"/>
        <v>-28.551999999999968</v>
      </c>
      <c r="K13" s="5">
        <f t="shared" si="5"/>
        <v>-30.418000000000021</v>
      </c>
      <c r="L13" s="5">
        <f t="shared" si="5"/>
        <v>6.0070000000000157</v>
      </c>
      <c r="M13" s="5"/>
      <c r="N13" s="5"/>
      <c r="P13" s="3">
        <f>+P11+P12</f>
        <v>-225.673</v>
      </c>
      <c r="Q13" s="3">
        <f>+Q11+Q12</f>
        <v>-233.179</v>
      </c>
      <c r="R13" s="3">
        <f>+R11+R12</f>
        <v>-124.57799999999997</v>
      </c>
    </row>
    <row r="14" spans="1:22" s="3" customFormat="1" x14ac:dyDescent="0.2">
      <c r="B14" s="3" t="s">
        <v>30</v>
      </c>
      <c r="C14" s="5"/>
      <c r="D14" s="5">
        <v>0.91100000000000003</v>
      </c>
      <c r="E14" s="5">
        <v>4.0229999999999997</v>
      </c>
      <c r="F14" s="5">
        <v>-0.28699999999999998</v>
      </c>
      <c r="G14" s="5">
        <v>-0.28699999999999998</v>
      </c>
      <c r="H14" s="5">
        <v>2.7149999999999999</v>
      </c>
      <c r="I14" s="5">
        <v>-3.1280000000000001</v>
      </c>
      <c r="J14" s="5">
        <f>+R14-I14-H14-G14</f>
        <v>2.1830000000000007</v>
      </c>
      <c r="K14" s="5">
        <v>4.8360000000000003</v>
      </c>
      <c r="L14" s="5">
        <v>15.805</v>
      </c>
      <c r="M14" s="5"/>
      <c r="N14" s="5"/>
      <c r="P14" s="3">
        <v>8.9060000000000006</v>
      </c>
      <c r="Q14" s="3">
        <v>-5.4710000000000001</v>
      </c>
      <c r="R14" s="3">
        <v>1.4830000000000001</v>
      </c>
    </row>
    <row r="15" spans="1:22" s="3" customFormat="1" x14ac:dyDescent="0.2">
      <c r="B15" s="3" t="s">
        <v>28</v>
      </c>
      <c r="C15" s="5"/>
      <c r="D15" s="5">
        <f t="shared" ref="D15:L15" si="6">+D13-D14</f>
        <v>-67.976000000000013</v>
      </c>
      <c r="E15" s="5">
        <f t="shared" si="6"/>
        <v>-45.066999999999993</v>
      </c>
      <c r="F15" s="5">
        <f t="shared" si="6"/>
        <v>-43.659999999999989</v>
      </c>
      <c r="G15" s="5">
        <f t="shared" si="6"/>
        <v>-45.485999999999983</v>
      </c>
      <c r="H15" s="5">
        <f t="shared" si="6"/>
        <v>-28.653000000000009</v>
      </c>
      <c r="I15" s="5">
        <f t="shared" si="6"/>
        <v>-21.186999999999983</v>
      </c>
      <c r="J15" s="5">
        <f t="shared" si="6"/>
        <v>-30.734999999999967</v>
      </c>
      <c r="K15" s="5">
        <f t="shared" si="6"/>
        <v>-35.254000000000019</v>
      </c>
      <c r="L15" s="5">
        <f t="shared" si="6"/>
        <v>-9.7979999999999841</v>
      </c>
      <c r="M15" s="5"/>
      <c r="N15" s="5"/>
      <c r="P15" s="3">
        <f>+P13-P14</f>
        <v>-234.57900000000001</v>
      </c>
      <c r="Q15" s="3">
        <f>+Q13-Q14</f>
        <v>-227.708</v>
      </c>
      <c r="R15" s="3">
        <f>+R13-R14</f>
        <v>-126.06099999999998</v>
      </c>
    </row>
    <row r="16" spans="1:22" x14ac:dyDescent="0.2">
      <c r="B16" s="2" t="s">
        <v>43</v>
      </c>
      <c r="P16" s="1">
        <f>+P15/P17</f>
        <v>-0.86425938980492167</v>
      </c>
      <c r="Q16" s="1">
        <f>+Q15/Q17</f>
        <v>-0.7877610437502407</v>
      </c>
      <c r="R16" s="1">
        <f>+R15/R17</f>
        <v>-0.42708724658179181</v>
      </c>
    </row>
    <row r="17" spans="2:18" s="3" customFormat="1" x14ac:dyDescent="0.2">
      <c r="B17" s="3" t="s">
        <v>1</v>
      </c>
      <c r="C17" s="5"/>
      <c r="D17" s="5">
        <v>291.97056199999997</v>
      </c>
      <c r="E17" s="5">
        <v>289.22370899999999</v>
      </c>
      <c r="F17" s="5"/>
      <c r="G17" s="5"/>
      <c r="H17" s="5">
        <v>292.79700220000001</v>
      </c>
      <c r="I17" s="5">
        <v>295.759435</v>
      </c>
      <c r="J17" s="5"/>
      <c r="K17" s="5"/>
      <c r="L17" s="5"/>
      <c r="M17" s="5"/>
      <c r="N17" s="5"/>
      <c r="P17" s="3">
        <v>271.421986</v>
      </c>
      <c r="Q17" s="3">
        <v>289.05719800000003</v>
      </c>
      <c r="R17" s="3">
        <v>295.16451499999999</v>
      </c>
    </row>
    <row r="19" spans="2:18" x14ac:dyDescent="0.2">
      <c r="B19" s="2" t="s">
        <v>40</v>
      </c>
      <c r="H19" s="17">
        <f>+H5/D5-1</f>
        <v>0.17059122270255545</v>
      </c>
      <c r="I19" s="17">
        <f>+I5/E5-1</f>
        <v>0.26698167484790258</v>
      </c>
      <c r="J19" s="17">
        <f>+J5/F5-1</f>
        <v>0.30632491827097708</v>
      </c>
      <c r="K19" s="17">
        <f>+K5/G5-1</f>
        <v>0.27973803176075118</v>
      </c>
      <c r="L19" s="17">
        <f>+L5/H5-1</f>
        <v>0.34037014697946089</v>
      </c>
    </row>
    <row r="21" spans="2:18" x14ac:dyDescent="0.2">
      <c r="B21" s="2" t="s">
        <v>3</v>
      </c>
      <c r="L21" s="4">
        <f>209.335+50.727</f>
        <v>260.06200000000001</v>
      </c>
    </row>
    <row r="22" spans="2:18" x14ac:dyDescent="0.2">
      <c r="B22" s="2" t="s">
        <v>41</v>
      </c>
      <c r="L22" s="4">
        <v>85.174000000000007</v>
      </c>
    </row>
    <row r="23" spans="2:18" x14ac:dyDescent="0.2">
      <c r="B23" s="2" t="s">
        <v>42</v>
      </c>
      <c r="L23" s="4">
        <v>81.319999999999993</v>
      </c>
    </row>
    <row r="24" spans="2:18" x14ac:dyDescent="0.2">
      <c r="L24" s="4">
        <v>35.145000000000003</v>
      </c>
    </row>
    <row r="25" spans="2:18" x14ac:dyDescent="0.2">
      <c r="L25" s="4">
        <v>22.611000000000001</v>
      </c>
    </row>
  </sheetData>
  <hyperlinks>
    <hyperlink ref="A1" location="Main!A1" display="Main" xr:uid="{E845A48E-CAAC-7D4E-9046-684FFFE02A2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6355-A340-0944-8E0A-B0338A72F0A1}">
  <dimension ref="A1:C5"/>
  <sheetViews>
    <sheetView workbookViewId="0"/>
  </sheetViews>
  <sheetFormatPr defaultColWidth="10.875" defaultRowHeight="12.75" x14ac:dyDescent="0.2"/>
  <cols>
    <col min="1" max="1" width="4.875" style="2" bestFit="1" customWidth="1"/>
    <col min="2" max="16384" width="10.875" style="2"/>
  </cols>
  <sheetData>
    <row r="1" spans="1:3" x14ac:dyDescent="0.2">
      <c r="A1" s="8" t="s">
        <v>7</v>
      </c>
    </row>
    <row r="2" spans="1:3" x14ac:dyDescent="0.2">
      <c r="B2" s="2" t="s">
        <v>32</v>
      </c>
      <c r="C2" s="2" t="s">
        <v>9</v>
      </c>
    </row>
    <row r="3" spans="1:3" x14ac:dyDescent="0.2">
      <c r="B3" s="2" t="s">
        <v>46</v>
      </c>
      <c r="C3" s="2" t="s">
        <v>47</v>
      </c>
    </row>
    <row r="4" spans="1:3" x14ac:dyDescent="0.2">
      <c r="B4" s="2" t="s">
        <v>36</v>
      </c>
      <c r="C4" s="2" t="s">
        <v>39</v>
      </c>
    </row>
    <row r="5" spans="1:3" x14ac:dyDescent="0.2">
      <c r="B5" s="2" t="s">
        <v>44</v>
      </c>
      <c r="C5" s="2" t="s">
        <v>45</v>
      </c>
    </row>
  </sheetData>
  <hyperlinks>
    <hyperlink ref="A1" location="Main!A1" display="Main" xr:uid="{AAE4DA63-37FB-604A-BE28-5FCC46C24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Galafold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2024-10-15T13:58:42Z</dcterms:created>
  <dcterms:modified xsi:type="dcterms:W3CDTF">2025-10-13T10:16:01Z</dcterms:modified>
</cp:coreProperties>
</file>