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4571A753-5904-4761-9F99-3F62BD0FB50B}" xr6:coauthVersionLast="47" xr6:coauthVersionMax="47" xr10:uidLastSave="{00000000-0000-0000-0000-000000000000}"/>
  <bookViews>
    <workbookView xWindow="3330" yWindow="3330" windowWidth="18075" windowHeight="16020" activeTab="1" xr2:uid="{8C9A2681-AF0E-D043-B5D1-DB187ECBB0C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1" i="2" l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I48" i="2"/>
  <c r="I47" i="2"/>
  <c r="I46" i="2"/>
  <c r="V2" i="2"/>
  <c r="W2" i="2" s="1"/>
  <c r="X2" i="2" s="1"/>
  <c r="Y2" i="2" s="1"/>
  <c r="Z2" i="2" s="1"/>
  <c r="AA2" i="2" s="1"/>
  <c r="AB2" i="2" s="1"/>
  <c r="AC2" i="2" s="1"/>
  <c r="AD2" i="2" s="1"/>
  <c r="AE2" i="2" s="1"/>
  <c r="AF2" i="2" s="1"/>
  <c r="Q21" i="2"/>
  <c r="P12" i="2"/>
  <c r="P8" i="2"/>
  <c r="P22" i="2" s="1"/>
  <c r="R21" i="2"/>
  <c r="Q12" i="2"/>
  <c r="Q8" i="2"/>
  <c r="Q22" i="2" s="1"/>
  <c r="S21" i="2"/>
  <c r="R8" i="2"/>
  <c r="R22" i="2" s="1"/>
  <c r="S12" i="2"/>
  <c r="R12" i="2"/>
  <c r="S8" i="2"/>
  <c r="S22" i="2" s="1"/>
  <c r="U16" i="2"/>
  <c r="M14" i="2"/>
  <c r="N10" i="2"/>
  <c r="M10" i="2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M11" i="2"/>
  <c r="N11" i="2" s="1"/>
  <c r="M9" i="2"/>
  <c r="N9" i="2" s="1"/>
  <c r="N8" i="2"/>
  <c r="N7" i="2" s="1"/>
  <c r="N21" i="2"/>
  <c r="M21" i="2"/>
  <c r="M19" i="2"/>
  <c r="N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T19" i="2"/>
  <c r="T16" i="2"/>
  <c r="T14" i="2"/>
  <c r="T11" i="2"/>
  <c r="T10" i="2"/>
  <c r="T9" i="2"/>
  <c r="T7" i="2"/>
  <c r="I21" i="2"/>
  <c r="J21" i="2"/>
  <c r="N6" i="2"/>
  <c r="M6" i="2"/>
  <c r="M8" i="2" s="1"/>
  <c r="T6" i="2"/>
  <c r="T21" i="2" s="1"/>
  <c r="H24" i="2"/>
  <c r="H34" i="2" s="1"/>
  <c r="H43" i="2"/>
  <c r="G43" i="2"/>
  <c r="G24" i="2"/>
  <c r="G34" i="2" s="1"/>
  <c r="I43" i="2"/>
  <c r="I24" i="2"/>
  <c r="I34" i="2" s="1"/>
  <c r="E12" i="2"/>
  <c r="E8" i="2"/>
  <c r="E22" i="2" s="1"/>
  <c r="I12" i="2"/>
  <c r="I8" i="2"/>
  <c r="I22" i="2" s="1"/>
  <c r="F54" i="2"/>
  <c r="F51" i="2"/>
  <c r="J54" i="2"/>
  <c r="J55" i="2" s="1"/>
  <c r="J24" i="2"/>
  <c r="J34" i="2" s="1"/>
  <c r="J43" i="2"/>
  <c r="F12" i="2"/>
  <c r="F8" i="2"/>
  <c r="F22" i="2" s="1"/>
  <c r="J12" i="2"/>
  <c r="J8" i="2"/>
  <c r="J22" i="2" s="1"/>
  <c r="H48" i="2"/>
  <c r="H47" i="2"/>
  <c r="H46" i="2"/>
  <c r="H53" i="2"/>
  <c r="I53" i="2" s="1"/>
  <c r="H52" i="2"/>
  <c r="I52" i="2" s="1"/>
  <c r="H51" i="2"/>
  <c r="I51" i="2" s="1"/>
  <c r="H50" i="2"/>
  <c r="I50" i="2" s="1"/>
  <c r="H49" i="2"/>
  <c r="I49" i="2" s="1"/>
  <c r="L53" i="2"/>
  <c r="L52" i="2"/>
  <c r="L51" i="2"/>
  <c r="L50" i="2"/>
  <c r="L49" i="2"/>
  <c r="L48" i="2"/>
  <c r="L47" i="2"/>
  <c r="L46" i="2"/>
  <c r="G54" i="2"/>
  <c r="H54" i="2" s="1"/>
  <c r="I54" i="2" s="1"/>
  <c r="K54" i="2"/>
  <c r="K55" i="2" s="1"/>
  <c r="K24" i="2"/>
  <c r="K34" i="2" s="1"/>
  <c r="K43" i="2"/>
  <c r="G12" i="2"/>
  <c r="G8" i="2"/>
  <c r="G22" i="2" s="1"/>
  <c r="K21" i="2"/>
  <c r="K12" i="2"/>
  <c r="K8" i="2"/>
  <c r="K22" i="2" s="1"/>
  <c r="L43" i="2"/>
  <c r="L31" i="2"/>
  <c r="L24" i="2"/>
  <c r="L34" i="2" s="1"/>
  <c r="H12" i="2"/>
  <c r="L12" i="2"/>
  <c r="L21" i="2"/>
  <c r="H8" i="2"/>
  <c r="H22" i="2" s="1"/>
  <c r="L8" i="2"/>
  <c r="L22" i="2" s="1"/>
  <c r="H5" i="1"/>
  <c r="H3" i="1"/>
  <c r="H4" i="1" s="1"/>
  <c r="H7" i="1" s="1"/>
  <c r="I55" i="2" l="1"/>
  <c r="T8" i="2"/>
  <c r="U6" i="2"/>
  <c r="V6" i="2" s="1"/>
  <c r="W6" i="2" s="1"/>
  <c r="X6" i="2" s="1"/>
  <c r="U9" i="2"/>
  <c r="V21" i="2"/>
  <c r="V8" i="2"/>
  <c r="V22" i="2" s="1"/>
  <c r="V7" i="2"/>
  <c r="M7" i="2"/>
  <c r="U7" i="2" s="1"/>
  <c r="M22" i="2"/>
  <c r="P13" i="2"/>
  <c r="P15" i="2" s="1"/>
  <c r="P17" i="2" s="1"/>
  <c r="P18" i="2" s="1"/>
  <c r="M12" i="2"/>
  <c r="M13" i="2" s="1"/>
  <c r="M15" i="2" s="1"/>
  <c r="M17" i="2" s="1"/>
  <c r="N22" i="2"/>
  <c r="T12" i="2"/>
  <c r="T13" i="2" s="1"/>
  <c r="T15" i="2" s="1"/>
  <c r="T17" i="2" s="1"/>
  <c r="T18" i="2" s="1"/>
  <c r="T22" i="2"/>
  <c r="Q13" i="2"/>
  <c r="Q15" i="2" s="1"/>
  <c r="Q17" i="2" s="1"/>
  <c r="Q18" i="2" s="1"/>
  <c r="N12" i="2"/>
  <c r="N13" i="2" s="1"/>
  <c r="R13" i="2"/>
  <c r="R15" i="2" s="1"/>
  <c r="R17" i="2" s="1"/>
  <c r="R18" i="2" s="1"/>
  <c r="S13" i="2"/>
  <c r="S15" i="2" s="1"/>
  <c r="S17" i="2" s="1"/>
  <c r="S18" i="2" s="1"/>
  <c r="N14" i="2"/>
  <c r="U14" i="2" s="1"/>
  <c r="L54" i="2"/>
  <c r="L55" i="2" s="1"/>
  <c r="H55" i="2"/>
  <c r="G55" i="2"/>
  <c r="E13" i="2"/>
  <c r="E15" i="2" s="1"/>
  <c r="E17" i="2" s="1"/>
  <c r="E18" i="2" s="1"/>
  <c r="I13" i="2"/>
  <c r="I15" i="2" s="1"/>
  <c r="I17" i="2" s="1"/>
  <c r="F55" i="2"/>
  <c r="F13" i="2"/>
  <c r="F15" i="2" s="1"/>
  <c r="F17" i="2" s="1"/>
  <c r="J13" i="2"/>
  <c r="J15" i="2" s="1"/>
  <c r="J17" i="2" s="1"/>
  <c r="L13" i="2"/>
  <c r="L15" i="2" s="1"/>
  <c r="L17" i="2" s="1"/>
  <c r="H13" i="2"/>
  <c r="H15" i="2" s="1"/>
  <c r="H17" i="2" s="1"/>
  <c r="G13" i="2"/>
  <c r="G15" i="2" s="1"/>
  <c r="G17" i="2" s="1"/>
  <c r="K13" i="2"/>
  <c r="K15" i="2" s="1"/>
  <c r="K17" i="2" s="1"/>
  <c r="M18" i="2" l="1"/>
  <c r="M24" i="2"/>
  <c r="V9" i="2"/>
  <c r="U12" i="2"/>
  <c r="W8" i="2"/>
  <c r="W22" i="2" s="1"/>
  <c r="W21" i="2"/>
  <c r="U21" i="2"/>
  <c r="U8" i="2"/>
  <c r="U22" i="2" s="1"/>
  <c r="N15" i="2"/>
  <c r="N17" i="2" s="1"/>
  <c r="N18" i="2" s="1"/>
  <c r="U13" i="2"/>
  <c r="U15" i="2" s="1"/>
  <c r="U17" i="2" s="1"/>
  <c r="U18" i="2" s="1"/>
  <c r="H18" i="2"/>
  <c r="H45" i="2"/>
  <c r="G18" i="2"/>
  <c r="G45" i="2"/>
  <c r="J18" i="2"/>
  <c r="J45" i="2"/>
  <c r="I18" i="2"/>
  <c r="I45" i="2"/>
  <c r="K18" i="2"/>
  <c r="K45" i="2"/>
  <c r="L18" i="2"/>
  <c r="L45" i="2"/>
  <c r="F18" i="2"/>
  <c r="F45" i="2"/>
  <c r="W9" i="2" l="1"/>
  <c r="V12" i="2"/>
  <c r="V13" i="2" s="1"/>
  <c r="N24" i="2"/>
  <c r="U24" i="2" s="1"/>
  <c r="X21" i="2"/>
  <c r="Y6" i="2"/>
  <c r="X8" i="2"/>
  <c r="W7" i="2"/>
  <c r="V14" i="2" l="1"/>
  <c r="V15" i="2"/>
  <c r="V16" i="2" s="1"/>
  <c r="V17" i="2" s="1"/>
  <c r="V18" i="2" s="1"/>
  <c r="W12" i="2"/>
  <c r="W13" i="2" s="1"/>
  <c r="X9" i="2"/>
  <c r="X22" i="2"/>
  <c r="X7" i="2"/>
  <c r="Y8" i="2"/>
  <c r="Z6" i="2"/>
  <c r="Y21" i="2"/>
  <c r="V24" i="2" l="1"/>
  <c r="Y9" i="2"/>
  <c r="X12" i="2"/>
  <c r="X13" i="2" s="1"/>
  <c r="AA6" i="2"/>
  <c r="AB6" i="2" s="1"/>
  <c r="Z21" i="2"/>
  <c r="Z8" i="2"/>
  <c r="Y7" i="2"/>
  <c r="Y22" i="2"/>
  <c r="Z9" i="2" l="1"/>
  <c r="Y12" i="2"/>
  <c r="Y13" i="2" s="1"/>
  <c r="W14" i="2"/>
  <c r="W15" i="2" s="1"/>
  <c r="W16" i="2" s="1"/>
  <c r="W17" i="2" s="1"/>
  <c r="W18" i="2" s="1"/>
  <c r="W24" i="2"/>
  <c r="X14" i="2" s="1"/>
  <c r="X15" i="2" s="1"/>
  <c r="X16" i="2" s="1"/>
  <c r="X17" i="2" s="1"/>
  <c r="Z7" i="2"/>
  <c r="Z22" i="2"/>
  <c r="AA21" i="2"/>
  <c r="AA8" i="2"/>
  <c r="X18" i="2"/>
  <c r="X24" i="2"/>
  <c r="Y14" i="2" s="1"/>
  <c r="AA9" i="2" l="1"/>
  <c r="Z12" i="2"/>
  <c r="Z13" i="2" s="1"/>
  <c r="AA22" i="2"/>
  <c r="AC6" i="2"/>
  <c r="AB8" i="2"/>
  <c r="AB7" i="2" s="1"/>
  <c r="AB21" i="2"/>
  <c r="AA7" i="2"/>
  <c r="Y15" i="2"/>
  <c r="Y16" i="2" s="1"/>
  <c r="Y17" i="2" s="1"/>
  <c r="AA12" i="2" l="1"/>
  <c r="AA13" i="2" s="1"/>
  <c r="AB9" i="2"/>
  <c r="AB22" i="2"/>
  <c r="AD6" i="2"/>
  <c r="AC21" i="2"/>
  <c r="AC8" i="2"/>
  <c r="AC7" i="2"/>
  <c r="Y24" i="2"/>
  <c r="Z14" i="2" s="1"/>
  <c r="Y18" i="2"/>
  <c r="Z15" i="2"/>
  <c r="Z16" i="2" s="1"/>
  <c r="Z17" i="2" s="1"/>
  <c r="Z18" i="2" s="1"/>
  <c r="AC9" i="2" l="1"/>
  <c r="AB12" i="2"/>
  <c r="AB13" i="2" s="1"/>
  <c r="AC22" i="2"/>
  <c r="AE6" i="2"/>
  <c r="AD21" i="2"/>
  <c r="AD8" i="2"/>
  <c r="AD7" i="2"/>
  <c r="Z24" i="2"/>
  <c r="AA14" i="2" s="1"/>
  <c r="AD9" i="2" l="1"/>
  <c r="AC12" i="2"/>
  <c r="AC13" i="2" s="1"/>
  <c r="AD22" i="2"/>
  <c r="AF6" i="2"/>
  <c r="AE21" i="2"/>
  <c r="AE8" i="2"/>
  <c r="AE7" i="2"/>
  <c r="AA15" i="2"/>
  <c r="AA16" i="2" s="1"/>
  <c r="AA17" i="2" s="1"/>
  <c r="AE9" i="2" l="1"/>
  <c r="AD12" i="2"/>
  <c r="AD13" i="2" s="1"/>
  <c r="AE22" i="2"/>
  <c r="AF21" i="2"/>
  <c r="AF8" i="2"/>
  <c r="AF7" i="2"/>
  <c r="AA24" i="2"/>
  <c r="AB14" i="2" s="1"/>
  <c r="AB15" i="2" s="1"/>
  <c r="AB16" i="2" s="1"/>
  <c r="AB17" i="2" s="1"/>
  <c r="AA18" i="2"/>
  <c r="AE12" i="2" l="1"/>
  <c r="AE13" i="2" s="1"/>
  <c r="AF9" i="2"/>
  <c r="AF12" i="2" s="1"/>
  <c r="AF13" i="2"/>
  <c r="AF22" i="2"/>
  <c r="AB18" i="2"/>
  <c r="AB24" i="2"/>
  <c r="AC14" i="2" l="1"/>
  <c r="AC15" i="2" s="1"/>
  <c r="AC16" i="2" l="1"/>
  <c r="AC17" i="2"/>
  <c r="AC18" i="2" l="1"/>
  <c r="AC24" i="2"/>
  <c r="AD14" i="2" l="1"/>
  <c r="AD15" i="2" s="1"/>
  <c r="AD16" i="2" l="1"/>
  <c r="AD17" i="2" s="1"/>
  <c r="AD18" i="2" l="1"/>
  <c r="AD24" i="2"/>
  <c r="AE14" i="2" l="1"/>
  <c r="AE15" i="2" s="1"/>
  <c r="AE16" i="2" l="1"/>
  <c r="AE17" i="2" s="1"/>
  <c r="AE18" i="2" l="1"/>
  <c r="AE24" i="2"/>
  <c r="AF14" i="2" l="1"/>
  <c r="AF15" i="2" s="1"/>
  <c r="AF16" i="2" l="1"/>
  <c r="AF17" i="2" s="1"/>
  <c r="AG17" i="2" s="1"/>
  <c r="AF18" i="2" l="1"/>
  <c r="AH17" i="2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AD30" i="2" s="1"/>
  <c r="AD31" i="2" s="1"/>
  <c r="AD32" i="2" s="1"/>
  <c r="AF24" i="2"/>
</calcChain>
</file>

<file path=xl/sharedStrings.xml><?xml version="1.0" encoding="utf-8"?>
<sst xmlns="http://schemas.openxmlformats.org/spreadsheetml/2006/main" count="87" uniqueCount="78">
  <si>
    <t>Price</t>
  </si>
  <si>
    <t>Shares</t>
  </si>
  <si>
    <t>MC</t>
  </si>
  <si>
    <t>Cash</t>
  </si>
  <si>
    <t>Debt</t>
  </si>
  <si>
    <t>EV</t>
  </si>
  <si>
    <t>Q224</t>
  </si>
  <si>
    <t>PIC</t>
  </si>
  <si>
    <t>AD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</si>
  <si>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</si>
  <si>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</si>
  <si>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</si>
  <si>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</si>
  <si>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</si>
  <si>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</si>
  <si>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</si>
  <si>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</si>
  <si>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</si>
  <si>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</si>
  <si>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</si>
  <si>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</si>
  <si>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</si>
  <si>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</si>
  <si>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</si>
  <si>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</si>
  <si>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</si>
  <si>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</si>
  <si>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</si>
  <si>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</si>
  <si>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</si>
  <si>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</si>
  <si>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</si>
  <si>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</si>
  <si>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</si>
  <si>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Revenue Growth</t>
  </si>
  <si>
    <t>Gross Margin</t>
  </si>
  <si>
    <t>Assets</t>
  </si>
  <si>
    <t>AR</t>
  </si>
  <si>
    <t>Contract Acquisition Costs</t>
  </si>
  <si>
    <t>Prepaids</t>
  </si>
  <si>
    <t>PP&amp;E</t>
  </si>
  <si>
    <t>Lease</t>
  </si>
  <si>
    <t>Goodwill</t>
  </si>
  <si>
    <t>DTA</t>
  </si>
  <si>
    <t>Other</t>
  </si>
  <si>
    <t>AP</t>
  </si>
  <si>
    <t>AL</t>
  </si>
  <si>
    <t>DR</t>
  </si>
  <si>
    <t>Leases</t>
  </si>
  <si>
    <t>OL</t>
  </si>
  <si>
    <t>SE</t>
  </si>
  <si>
    <t>L+SE</t>
  </si>
  <si>
    <t>Model NI</t>
  </si>
  <si>
    <t>Reported NI</t>
  </si>
  <si>
    <t>CFFO</t>
  </si>
  <si>
    <t>D&amp;A</t>
  </si>
  <si>
    <t>SBC</t>
  </si>
  <si>
    <t>Amortization on Securities</t>
  </si>
  <si>
    <t>Amortization on DCA</t>
  </si>
  <si>
    <t>DT</t>
  </si>
  <si>
    <t>WC</t>
  </si>
  <si>
    <t>CEO: Girish Mathrubootham</t>
  </si>
  <si>
    <t>Customers</t>
  </si>
  <si>
    <t>$5k customers</t>
  </si>
  <si>
    <t>Maturity</t>
  </si>
  <si>
    <t>Discount</t>
  </si>
  <si>
    <t>ROIC</t>
  </si>
  <si>
    <t>NPV</t>
  </si>
  <si>
    <t>Share</t>
  </si>
  <si>
    <t>Return</t>
  </si>
  <si>
    <r>
      <t>Freshdesk</t>
    </r>
    <r>
      <rPr>
        <sz val="10"/>
        <color theme="1"/>
        <rFont val="Arial"/>
        <family val="2"/>
      </rPr>
      <t xml:space="preserve"> – kundservice/helpdesk.</t>
    </r>
  </si>
  <si>
    <r>
      <t>Freshservice</t>
    </r>
    <r>
      <rPr>
        <sz val="10"/>
        <color theme="1"/>
        <rFont val="Arial"/>
        <family val="2"/>
      </rPr>
      <t xml:space="preserve"> – ITSM/Employee Service.</t>
    </r>
  </si>
  <si>
    <r>
      <t>Freshsales</t>
    </r>
    <r>
      <rPr>
        <sz val="10"/>
        <color theme="1"/>
        <rFont val="Arial"/>
        <family val="2"/>
      </rPr>
      <t xml:space="preserve"> – CRM/Sales.</t>
    </r>
  </si>
  <si>
    <r>
      <t>Freshchat</t>
    </r>
    <r>
      <rPr>
        <sz val="10"/>
        <color theme="1"/>
        <rFont val="Arial"/>
        <family val="2"/>
      </rPr>
      <t xml:space="preserve"> – chat/meddelanden.</t>
    </r>
  </si>
  <si>
    <r>
      <t>Freshmarketer</t>
    </r>
    <r>
      <rPr>
        <sz val="10"/>
        <color theme="1"/>
        <rFont val="Arial"/>
        <family val="2"/>
      </rPr>
      <t xml:space="preserve"> – marketing automation.</t>
    </r>
  </si>
  <si>
    <r>
      <t>(Freshdesk) Contact Center</t>
    </r>
    <r>
      <rPr>
        <sz val="10"/>
        <color theme="1"/>
        <rFont val="Arial"/>
        <family val="2"/>
      </rPr>
      <t xml:space="preserve"> – telefoni/call center.</t>
    </r>
  </si>
  <si>
    <r>
      <t>Freddy AI</t>
    </r>
    <r>
      <rPr>
        <sz val="10"/>
        <color theme="1"/>
        <rFont val="Arial"/>
        <family val="2"/>
      </rPr>
      <t xml:space="preserve"> – AI-lager över sviten.</t>
    </r>
  </si>
  <si>
    <t>Founded: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</si>
</sst>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2"/>
      <color theme="10"/>
      <name val="Aptos Narrow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3" fontId="2" fillId="0" borderId="0" xfId="0" applyNumberFormat="1" applyFont="1"/>
    <xf numFmtId="0" fontId="2" fillId="0" borderId="0" xfId="0" applyFont="1" applyAlignment="1">
      <alignment horizontal="right"/>
    </xf>
    <xf numFmtId="4" fontId="2" fillId="0" borderId="0" xfId="0" applyNumberFormat="1" applyFont="1"/>
    <xf numFmtId="3" fontId="2" fillId="0" borderId="0" xfId="0" applyNumberFormat="1" applyFont="1" applyAlignment="1">
      <alignment horizontal="right"/>
    </xf>
    <xf numFmtId="3" fontId="3" fillId="0" borderId="0" xfId="0" applyNumberFormat="1" applyFont="1"/>
    <xf numFmtId="3" fontId="3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0" fontId="5" fillId="0" borderId="0" xfId="1" applyFont="1"/>
    <xf numFmtId="9" fontId="2" fillId="0" borderId="0" xfId="0" applyNumberFormat="1" applyFont="1"/>
    <xf numFmtId="9" fontId="3" fillId="0" borderId="0" xfId="0" applyNumberFormat="1" applyFont="1"/>
    <xf numFmtId="3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28876944-47EE-4B06-A8F4-23DB04DF774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</xdr:colOff>
      <xdr:row>0</xdr:row>
      <xdr:rowOff>67733</xdr:rowOff>
    </xdr:from>
    <xdr:to>
      <xdr:col>12</xdr:col>
      <xdr:colOff>25400</xdr:colOff>
      <xdr:row>61</xdr:row>
      <xdr:rowOff>127000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6D11A8A-A69D-8388-A10A-D37FCC313303}"/>
            </a:ext>
          </a:extLst>
        </xdr:cNvPr>
        <xdr:cNvCxnSpPr/>
      </xdr:nvCxnSpPr>
      <xdr:spPr>
        <a:xfrm>
          <a:off x="7823200" y="67733"/>
          <a:ext cx="0" cy="1021926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25400</xdr:colOff>
      <xdr:row>0</xdr:row>
      <xdr:rowOff>0</xdr:rowOff>
    </xdr:from>
    <xdr:to>
      <xdr:col>20</xdr:col>
      <xdr:colOff>25400</xdr:colOff>
      <xdr:row>61</xdr:row>
      <xdr:rowOff>59267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1996A330-0DE7-FC48-A5C1-3FE85C919C38}"/>
            </a:ext>
          </a:extLst>
        </xdr:cNvPr>
        <xdr:cNvCxnSpPr/>
      </xdr:nvCxnSpPr>
      <xdr:spPr>
        <a:xfrm>
          <a:off x="12573000" y="0"/>
          <a:ext cx="0" cy="103886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E21FD-1334-144F-943D-2E5AC06CE83A}">
  <dimension ref="B2:I13"/>
  <sheetViews>
    <sheetView zoomScale="115" zoomScaleNormal="115" workbookViewId="0">
      <selection activeCell="G13" sqref="G13"/>
    </sheetView>
  </sheetViews>
  <sheetFormatPr defaultColWidth="10.875" defaultRowHeight="12.75" x14ac:dyDescent="0.2"/>
  <cols>
    <col min="1" max="1" width="4.125" style="14" customWidth="1"/>
    <col min="2" max="2" width="12.125" style="14" bestFit="1" customWidth="1"/>
    <col min="3" max="6" width="10.875" style="14"/>
    <col min="7" max="7" width="7.375" style="14" customWidth="1"/>
    <col min="8" max="16384" width="10.875" style="14"/>
  </cols>
  <sheetData>
    <row r="2" spans="2:9" x14ac:dyDescent="0.2">
      <c r="B2" s="16" t="s">
        <v>70</v>
      </c>
      <c r="G2" s="14" t="s">
        <v>0</v>
      </c>
      <c r="H2" s="14">
        <v>11.27</v>
      </c>
    </row>
    <row r="3" spans="2:9" x14ac:dyDescent="0.2">
      <c r="B3" s="16" t="s">
        <v>71</v>
      </c>
      <c r="G3" s="14" t="s">
        <v>1</v>
      </c>
      <c r="H3" s="13">
        <f>222.762773+79.328031</f>
        <v>302.09080399999999</v>
      </c>
      <c r="I3" s="15" t="s">
        <v>6</v>
      </c>
    </row>
    <row r="4" spans="2:9" x14ac:dyDescent="0.2">
      <c r="B4" s="16" t="s">
        <v>72</v>
      </c>
      <c r="G4" s="14" t="s">
        <v>2</v>
      </c>
      <c r="H4" s="13">
        <f>+H2*H3</f>
        <v>3404.5633610799996</v>
      </c>
    </row>
    <row r="5" spans="2:9" x14ac:dyDescent="0.2">
      <c r="B5" s="16" t="s">
        <v>73</v>
      </c>
      <c r="G5" s="14" t="s">
        <v>3</v>
      </c>
      <c r="H5" s="13">
        <f>310.266+708.848</f>
        <v>1019.114</v>
      </c>
      <c r="I5" s="15" t="s">
        <v>6</v>
      </c>
    </row>
    <row r="6" spans="2:9" x14ac:dyDescent="0.2">
      <c r="B6" s="16" t="s">
        <v>74</v>
      </c>
      <c r="G6" s="14" t="s">
        <v>4</v>
      </c>
      <c r="H6" s="13">
        <v>0</v>
      </c>
      <c r="I6" s="15" t="s">
        <v>6</v>
      </c>
    </row>
    <row r="7" spans="2:9" x14ac:dyDescent="0.2">
      <c r="B7" s="16" t="s">
        <v>75</v>
      </c>
      <c r="G7" s="14" t="s">
        <v>5</v>
      </c>
      <c r="H7" s="13">
        <f>+H4-H5+H6</f>
        <v>2385.4493610799996</v>
      </c>
    </row>
    <row r="8" spans="2:9" x14ac:dyDescent="0.2">
      <c r="B8" s="16" t="s">
        <v>76</v>
      </c>
    </row>
    <row r="9" spans="2:9" x14ac:dyDescent="0.2">
      <c r="G9" s="14" t="s">
        <v>7</v>
      </c>
      <c r="H9" s="13">
        <v>4800.143</v>
      </c>
    </row>
    <row r="10" spans="2:9" x14ac:dyDescent="0.2">
      <c r="G10" s="14" t="s">
        <v>8</v>
      </c>
      <c r="H10" s="13">
        <v>3684.018</v>
      </c>
    </row>
    <row r="12" spans="2:9" x14ac:dyDescent="0.2">
      <c r="G12" s="14" t="s">
        <v>77</v>
      </c>
    </row>
    <row r="13" spans="2:9" x14ac:dyDescent="0.2">
      <c r="G13" s="14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93C24-26BA-B645-BEB9-516A7265FC21}">
  <dimension ref="A1:BY55"/>
  <sheetViews>
    <sheetView tabSelected="1" zoomScaleNormal="100" workbookViewId="0">
      <pane xSplit="2" ySplit="2" topLeftCell="W7" activePane="bottomRight" state="frozen"/>
      <selection pane="topRight" activeCell="C1" sqref="C1"/>
      <selection pane="bottomLeft" activeCell="A3" sqref="A3"/>
      <selection pane="bottomRight" activeCell="AD32" sqref="AD32"/>
    </sheetView>
  </sheetViews>
  <sheetFormatPr defaultColWidth="10.875" defaultRowHeight="12.75" x14ac:dyDescent="0.2"/>
  <cols>
    <col min="1" max="1" width="4.875" style="1" bestFit="1" customWidth="1"/>
    <col min="2" max="2" width="21.5" style="1" customWidth="1"/>
    <col min="3" max="14" width="7.5" style="3" customWidth="1"/>
    <col min="15" max="15" width="10.875" style="1"/>
    <col min="16" max="21" width="7.5" style="1" customWidth="1"/>
    <col min="22" max="27" width="8" style="1" customWidth="1"/>
    <col min="28" max="32" width="7.875" style="1" customWidth="1"/>
    <col min="33" max="16384" width="10.875" style="1"/>
  </cols>
  <sheetData>
    <row r="1" spans="1:32" x14ac:dyDescent="0.2">
      <c r="A1" s="10" t="s">
        <v>9</v>
      </c>
    </row>
    <row r="2" spans="1:32" x14ac:dyDescent="0.2"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6</v>
      </c>
      <c r="M2" s="3" t="s">
        <v>20</v>
      </c>
      <c r="N2" s="3" t="s">
        <v>21</v>
      </c>
      <c r="P2" s="1">
        <v>2019</v>
      </c>
      <c r="Q2" s="1">
        <v>2020</v>
      </c>
      <c r="R2" s="1">
        <v>2021</v>
      </c>
      <c r="S2" s="1">
        <v>2022</v>
      </c>
      <c r="T2" s="1">
        <v>2023</v>
      </c>
      <c r="U2" s="1">
        <v>2024</v>
      </c>
      <c r="V2" s="1">
        <f>+U2+1</f>
        <v>2025</v>
      </c>
      <c r="W2" s="1">
        <f t="shared" ref="W2:AF2" si="0">+V2+1</f>
        <v>2026</v>
      </c>
      <c r="X2" s="1">
        <f t="shared" si="0"/>
        <v>2027</v>
      </c>
      <c r="Y2" s="1">
        <f t="shared" si="0"/>
        <v>2028</v>
      </c>
      <c r="Z2" s="1">
        <f t="shared" si="0"/>
        <v>2029</v>
      </c>
      <c r="AA2" s="1">
        <f t="shared" si="0"/>
        <v>2030</v>
      </c>
      <c r="AB2" s="1">
        <f t="shared" si="0"/>
        <v>2031</v>
      </c>
      <c r="AC2" s="1">
        <f t="shared" si="0"/>
        <v>2032</v>
      </c>
      <c r="AD2" s="1">
        <f t="shared" si="0"/>
        <v>2033</v>
      </c>
      <c r="AE2" s="1">
        <f t="shared" si="0"/>
        <v>2034</v>
      </c>
      <c r="AF2" s="1">
        <f t="shared" si="0"/>
        <v>2035</v>
      </c>
    </row>
    <row r="3" spans="1:32" x14ac:dyDescent="0.2">
      <c r="B3" s="1" t="s">
        <v>63</v>
      </c>
      <c r="R3" s="1">
        <v>14814</v>
      </c>
      <c r="S3" s="1">
        <v>17722</v>
      </c>
      <c r="T3" s="1">
        <v>20261</v>
      </c>
    </row>
    <row r="4" spans="1:32" x14ac:dyDescent="0.2">
      <c r="B4" s="1" t="s">
        <v>62</v>
      </c>
      <c r="J4" s="5">
        <v>67100</v>
      </c>
      <c r="U4" s="2"/>
    </row>
    <row r="6" spans="1:32" s="6" customFormat="1" x14ac:dyDescent="0.2">
      <c r="B6" s="6" t="s">
        <v>10</v>
      </c>
      <c r="C6" s="7"/>
      <c r="D6" s="7"/>
      <c r="E6" s="7">
        <v>128.76</v>
      </c>
      <c r="F6" s="7">
        <v>133.16999999999999</v>
      </c>
      <c r="G6" s="7">
        <v>137.69200000000001</v>
      </c>
      <c r="H6" s="7">
        <v>145.07900000000001</v>
      </c>
      <c r="I6" s="7">
        <v>153.55000000000001</v>
      </c>
      <c r="J6" s="7">
        <v>160.11099999999999</v>
      </c>
      <c r="K6" s="7">
        <v>165.143</v>
      </c>
      <c r="L6" s="7">
        <v>174.131</v>
      </c>
      <c r="M6" s="7">
        <f>+I6*1.2</f>
        <v>184.26000000000002</v>
      </c>
      <c r="N6" s="7">
        <f>+J6*1.2</f>
        <v>192.13319999999999</v>
      </c>
      <c r="P6" s="6">
        <v>172.37700000000001</v>
      </c>
      <c r="Q6" s="6">
        <v>249.65899999999999</v>
      </c>
      <c r="R6" s="6">
        <v>371</v>
      </c>
      <c r="S6" s="6">
        <v>498</v>
      </c>
      <c r="T6" s="6">
        <f>SUM(G6:J6)</f>
        <v>596.43200000000002</v>
      </c>
      <c r="U6" s="6">
        <f>SUM(K6:N6)</f>
        <v>715.66719999999998</v>
      </c>
      <c r="V6" s="6">
        <f>+U6*1.2</f>
        <v>858.80063999999993</v>
      </c>
      <c r="W6" s="6">
        <f>+V6*1.2</f>
        <v>1030.5607679999998</v>
      </c>
      <c r="X6" s="6">
        <f>+W6*1.15</f>
        <v>1185.1448831999996</v>
      </c>
      <c r="Y6" s="6">
        <f>+X6*1.15</f>
        <v>1362.9166156799995</v>
      </c>
      <c r="Z6" s="6">
        <f t="shared" ref="Z6:AA6" si="1">+Y6*1.15</f>
        <v>1567.3541080319992</v>
      </c>
      <c r="AA6" s="6">
        <f t="shared" si="1"/>
        <v>1802.457224236799</v>
      </c>
      <c r="AB6" s="6">
        <f>+AA6*1.1</f>
        <v>1982.702946660479</v>
      </c>
      <c r="AC6" s="6">
        <f>+AB6*1.1</f>
        <v>2180.9732413265269</v>
      </c>
      <c r="AD6" s="6">
        <f t="shared" ref="AD6:AF6" si="2">+AC6*1.1</f>
        <v>2399.0705654591798</v>
      </c>
      <c r="AE6" s="6">
        <f t="shared" si="2"/>
        <v>2638.9776220050981</v>
      </c>
      <c r="AF6" s="6">
        <f t="shared" si="2"/>
        <v>2902.875384205608</v>
      </c>
    </row>
    <row r="7" spans="1:32" s="2" customFormat="1" x14ac:dyDescent="0.2">
      <c r="B7" s="2" t="s">
        <v>22</v>
      </c>
      <c r="C7" s="5"/>
      <c r="D7" s="5"/>
      <c r="E7" s="5">
        <v>24.178999999999998</v>
      </c>
      <c r="F7" s="5">
        <v>25.155999999999999</v>
      </c>
      <c r="G7" s="5">
        <v>25.236000000000001</v>
      </c>
      <c r="H7" s="5">
        <v>24.861000000000001</v>
      </c>
      <c r="I7" s="5">
        <v>26.263000000000002</v>
      </c>
      <c r="J7" s="5">
        <v>27.009</v>
      </c>
      <c r="K7" s="5">
        <v>25.89</v>
      </c>
      <c r="L7" s="5">
        <v>28.175000000000001</v>
      </c>
      <c r="M7" s="5">
        <f>+M6-M8</f>
        <v>29.481600000000014</v>
      </c>
      <c r="N7" s="5">
        <f>+N6-N8</f>
        <v>30.741311999999994</v>
      </c>
      <c r="P7" s="2">
        <v>36.462000000000003</v>
      </c>
      <c r="Q7" s="2">
        <v>52.491999999999997</v>
      </c>
      <c r="R7" s="2">
        <v>78.03</v>
      </c>
      <c r="S7" s="2">
        <v>95.772000000000006</v>
      </c>
      <c r="T7" s="2">
        <f>SUM(G7:J7)</f>
        <v>103.369</v>
      </c>
      <c r="U7" s="2">
        <f>SUM(K7:N7)</f>
        <v>114.28791200000001</v>
      </c>
      <c r="V7" s="2">
        <f t="shared" ref="V7:AA7" si="3">+V6-V8</f>
        <v>128.82009600000004</v>
      </c>
      <c r="W7" s="2">
        <f t="shared" si="3"/>
        <v>154.58411520000004</v>
      </c>
      <c r="X7" s="2">
        <f t="shared" si="3"/>
        <v>177.77173247999997</v>
      </c>
      <c r="Y7" s="2">
        <f t="shared" si="3"/>
        <v>204.43749235199994</v>
      </c>
      <c r="Z7" s="2">
        <f t="shared" si="3"/>
        <v>235.10311620480002</v>
      </c>
      <c r="AA7" s="2">
        <f t="shared" si="3"/>
        <v>270.36858363551983</v>
      </c>
      <c r="AB7" s="2">
        <f t="shared" ref="AB7" si="4">+AB6-AB8</f>
        <v>297.40544199907185</v>
      </c>
      <c r="AC7" s="2">
        <f t="shared" ref="AC7" si="5">+AC6-AC8</f>
        <v>327.14598619897902</v>
      </c>
      <c r="AD7" s="2">
        <f t="shared" ref="AD7" si="6">+AD6-AD8</f>
        <v>359.86058481887699</v>
      </c>
      <c r="AE7" s="2">
        <f t="shared" ref="AE7" si="7">+AE6-AE8</f>
        <v>395.84664330076475</v>
      </c>
      <c r="AF7" s="2">
        <f t="shared" ref="AF7" si="8">+AF6-AF8</f>
        <v>435.43130763084127</v>
      </c>
    </row>
    <row r="8" spans="1:32" s="2" customFormat="1" x14ac:dyDescent="0.2">
      <c r="B8" s="2" t="s">
        <v>23</v>
      </c>
      <c r="C8" s="5"/>
      <c r="D8" s="5"/>
      <c r="E8" s="5">
        <f t="shared" ref="E8:L8" si="9">+E6-E7</f>
        <v>104.58099999999999</v>
      </c>
      <c r="F8" s="5">
        <f t="shared" si="9"/>
        <v>108.01399999999998</v>
      </c>
      <c r="G8" s="5">
        <f t="shared" si="9"/>
        <v>112.456</v>
      </c>
      <c r="H8" s="5">
        <f t="shared" si="9"/>
        <v>120.218</v>
      </c>
      <c r="I8" s="5">
        <f t="shared" si="9"/>
        <v>127.28700000000001</v>
      </c>
      <c r="J8" s="5">
        <f t="shared" si="9"/>
        <v>133.10199999999998</v>
      </c>
      <c r="K8" s="5">
        <f t="shared" si="9"/>
        <v>139.25299999999999</v>
      </c>
      <c r="L8" s="5">
        <f t="shared" si="9"/>
        <v>145.95599999999999</v>
      </c>
      <c r="M8" s="5">
        <f>+M6*0.84</f>
        <v>154.7784</v>
      </c>
      <c r="N8" s="5">
        <f>+N6*0.84</f>
        <v>161.39188799999999</v>
      </c>
      <c r="P8" s="2">
        <f t="shared" ref="P8:U8" si="10">+P6-P7</f>
        <v>135.91500000000002</v>
      </c>
      <c r="Q8" s="2">
        <f t="shared" si="10"/>
        <v>197.167</v>
      </c>
      <c r="R8" s="2">
        <f t="shared" si="10"/>
        <v>292.97000000000003</v>
      </c>
      <c r="S8" s="2">
        <f t="shared" si="10"/>
        <v>402.22800000000001</v>
      </c>
      <c r="T8" s="2">
        <f t="shared" si="10"/>
        <v>493.06299999999999</v>
      </c>
      <c r="U8" s="2">
        <f t="shared" si="10"/>
        <v>601.37928799999997</v>
      </c>
      <c r="V8" s="2">
        <f t="shared" ref="V8:AA8" si="11">+V6*0.85</f>
        <v>729.9805439999999</v>
      </c>
      <c r="W8" s="2">
        <f t="shared" si="11"/>
        <v>875.97665279999978</v>
      </c>
      <c r="X8" s="2">
        <f t="shared" si="11"/>
        <v>1007.3731507199997</v>
      </c>
      <c r="Y8" s="2">
        <f t="shared" si="11"/>
        <v>1158.4791233279996</v>
      </c>
      <c r="Z8" s="2">
        <f t="shared" si="11"/>
        <v>1332.2509918271992</v>
      </c>
      <c r="AA8" s="2">
        <f t="shared" si="11"/>
        <v>1532.0886406012792</v>
      </c>
      <c r="AB8" s="2">
        <f t="shared" ref="AB8" si="12">+AB6*0.85</f>
        <v>1685.2975046614072</v>
      </c>
      <c r="AC8" s="2">
        <f t="shared" ref="AC8:AF8" si="13">+AC6*0.85</f>
        <v>1853.8272551275479</v>
      </c>
      <c r="AD8" s="2">
        <f t="shared" si="13"/>
        <v>2039.2099806403028</v>
      </c>
      <c r="AE8" s="2">
        <f t="shared" si="13"/>
        <v>2243.1309787043333</v>
      </c>
      <c r="AF8" s="2">
        <f t="shared" si="13"/>
        <v>2467.4440765747668</v>
      </c>
    </row>
    <row r="9" spans="1:32" s="2" customFormat="1" x14ac:dyDescent="0.2">
      <c r="B9" s="2" t="s">
        <v>24</v>
      </c>
      <c r="C9" s="5"/>
      <c r="D9" s="5"/>
      <c r="E9" s="5">
        <v>35.871000000000002</v>
      </c>
      <c r="F9" s="5">
        <v>34.658000000000001</v>
      </c>
      <c r="G9" s="5">
        <v>32.856999999999999</v>
      </c>
      <c r="H9" s="5">
        <v>34.18</v>
      </c>
      <c r="I9" s="5">
        <v>34.884999999999998</v>
      </c>
      <c r="J9" s="5">
        <v>35.834000000000003</v>
      </c>
      <c r="K9" s="5">
        <v>34.683999999999997</v>
      </c>
      <c r="L9" s="5">
        <v>40.993000000000002</v>
      </c>
      <c r="M9" s="5">
        <f>+L9</f>
        <v>40.993000000000002</v>
      </c>
      <c r="N9" s="5">
        <f>+M9</f>
        <v>40.993000000000002</v>
      </c>
      <c r="P9" s="2">
        <v>38.558999999999997</v>
      </c>
      <c r="Q9" s="2">
        <v>69.209999999999994</v>
      </c>
      <c r="R9" s="2">
        <v>120.407</v>
      </c>
      <c r="S9" s="2">
        <v>135.54300000000001</v>
      </c>
      <c r="T9" s="2">
        <f t="shared" ref="T9:T11" si="14">SUM(G9:J9)</f>
        <v>137.756</v>
      </c>
      <c r="U9" s="2">
        <f t="shared" ref="U9:U11" si="15">SUM(K9:N9)</f>
        <v>157.66299999999998</v>
      </c>
      <c r="V9" s="2">
        <f>+U9*1.1</f>
        <v>173.42929999999998</v>
      </c>
      <c r="W9" s="2">
        <f>+V9*1.05</f>
        <v>182.100765</v>
      </c>
      <c r="X9" s="2">
        <f>+W9*1.05</f>
        <v>191.20580325</v>
      </c>
      <c r="Y9" s="2">
        <f>+X9*1.05</f>
        <v>200.7660934125</v>
      </c>
      <c r="Z9" s="2">
        <f>+Y9*1.05</f>
        <v>210.80439808312499</v>
      </c>
      <c r="AA9" s="2">
        <f>+Z9*1.05</f>
        <v>221.34461798728125</v>
      </c>
      <c r="AB9" s="2">
        <f t="shared" ref="AB9" si="16">+AA9*1.05</f>
        <v>232.41184888664532</v>
      </c>
      <c r="AC9" s="2">
        <f t="shared" ref="AC9:AF9" si="17">+AB9*1.05</f>
        <v>244.0324413309776</v>
      </c>
      <c r="AD9" s="2">
        <f t="shared" si="17"/>
        <v>256.23406339752648</v>
      </c>
      <c r="AE9" s="2">
        <f t="shared" si="17"/>
        <v>269.04576656740284</v>
      </c>
      <c r="AF9" s="2">
        <f t="shared" si="17"/>
        <v>282.49805489577301</v>
      </c>
    </row>
    <row r="10" spans="1:32" s="2" customFormat="1" x14ac:dyDescent="0.2">
      <c r="B10" s="2" t="s">
        <v>25</v>
      </c>
      <c r="C10" s="5"/>
      <c r="D10" s="5"/>
      <c r="E10" s="5">
        <v>86.864999999999995</v>
      </c>
      <c r="F10" s="5">
        <v>94.837999999999994</v>
      </c>
      <c r="G10" s="5">
        <v>86.81</v>
      </c>
      <c r="H10" s="5">
        <v>87.974999999999994</v>
      </c>
      <c r="I10" s="5">
        <v>90.673000000000002</v>
      </c>
      <c r="J10" s="5">
        <v>92.322999999999993</v>
      </c>
      <c r="K10" s="5">
        <v>94.641999999999996</v>
      </c>
      <c r="L10" s="5">
        <v>104.248</v>
      </c>
      <c r="M10" s="5">
        <f>+I10*1.15</f>
        <v>104.27395</v>
      </c>
      <c r="N10" s="5">
        <f>+J10*1.15</f>
        <v>106.17144999999998</v>
      </c>
      <c r="P10" s="2">
        <v>111.11499999999999</v>
      </c>
      <c r="Q10" s="2">
        <v>133.27699999999999</v>
      </c>
      <c r="R10" s="2">
        <v>260.34500000000003</v>
      </c>
      <c r="S10" s="2">
        <v>343.20699999999999</v>
      </c>
      <c r="T10" s="2">
        <f t="shared" si="14"/>
        <v>357.78099999999995</v>
      </c>
      <c r="U10" s="2">
        <f>SUM(K10:N10)-50</f>
        <v>359.33539999999999</v>
      </c>
      <c r="V10" s="2">
        <f>+U10*1.15</f>
        <v>413.23570999999998</v>
      </c>
      <c r="W10" s="2">
        <f t="shared" ref="W10:X10" si="18">+V10*1.15</f>
        <v>475.22106649999995</v>
      </c>
      <c r="X10" s="2">
        <f t="shared" si="18"/>
        <v>546.50422647499988</v>
      </c>
      <c r="Y10" s="2">
        <f>+X10*1.1</f>
        <v>601.1546491224999</v>
      </c>
      <c r="Z10" s="2">
        <f>+Y10*1.1</f>
        <v>661.27011403474989</v>
      </c>
      <c r="AA10" s="2">
        <f>+Z10*1.1</f>
        <v>727.39712543822498</v>
      </c>
      <c r="AB10" s="2">
        <f>+AA10*1.1</f>
        <v>800.1368379820475</v>
      </c>
      <c r="AC10" s="2">
        <f>+AB10*1.05</f>
        <v>840.14367988114986</v>
      </c>
      <c r="AD10" s="2">
        <f>+AC10*1.05</f>
        <v>882.15086387520739</v>
      </c>
      <c r="AE10" s="2">
        <f>+AD10*1.05</f>
        <v>926.25840706896781</v>
      </c>
      <c r="AF10" s="2">
        <f>+AE10*1.05</f>
        <v>972.57132742241629</v>
      </c>
    </row>
    <row r="11" spans="1:32" s="2" customFormat="1" x14ac:dyDescent="0.2">
      <c r="B11" s="2" t="s">
        <v>26</v>
      </c>
      <c r="C11" s="5"/>
      <c r="D11" s="5"/>
      <c r="E11" s="5">
        <v>40.133000000000003</v>
      </c>
      <c r="F11" s="5">
        <v>39.125999999999998</v>
      </c>
      <c r="G11" s="5">
        <v>40.896000000000001</v>
      </c>
      <c r="H11" s="5">
        <v>41.351999999999997</v>
      </c>
      <c r="I11" s="5">
        <v>40.463999999999999</v>
      </c>
      <c r="J11" s="5">
        <v>44.985999999999997</v>
      </c>
      <c r="K11" s="5">
        <v>42.094000000000001</v>
      </c>
      <c r="L11" s="5">
        <v>44.502000000000002</v>
      </c>
      <c r="M11" s="5">
        <f>+L11</f>
        <v>44.502000000000002</v>
      </c>
      <c r="N11" s="5">
        <f>+M11</f>
        <v>44.502000000000002</v>
      </c>
      <c r="P11" s="2">
        <v>15.911</v>
      </c>
      <c r="Q11" s="2">
        <v>50.792000000000002</v>
      </c>
      <c r="R11" s="2">
        <v>117.02200000000001</v>
      </c>
      <c r="S11" s="2">
        <v>156.84899999999999</v>
      </c>
      <c r="T11" s="2">
        <f t="shared" si="14"/>
        <v>167.69799999999998</v>
      </c>
      <c r="U11" s="2">
        <f t="shared" si="15"/>
        <v>175.60000000000002</v>
      </c>
      <c r="V11" s="2">
        <f>+U11*1.1</f>
        <v>193.16000000000005</v>
      </c>
      <c r="W11" s="2">
        <f>+V11*1.05</f>
        <v>202.81800000000007</v>
      </c>
      <c r="X11" s="2">
        <f t="shared" ref="X11:AA11" si="19">+W11*1.05</f>
        <v>212.95890000000009</v>
      </c>
      <c r="Y11" s="2">
        <f t="shared" si="19"/>
        <v>223.60684500000011</v>
      </c>
      <c r="Z11" s="2">
        <f t="shared" si="19"/>
        <v>234.78718725000013</v>
      </c>
      <c r="AA11" s="2">
        <f t="shared" si="19"/>
        <v>246.52654661250014</v>
      </c>
      <c r="AB11" s="2">
        <f t="shared" ref="AB11" si="20">+AA11*1.05</f>
        <v>258.85287394312513</v>
      </c>
      <c r="AC11" s="2">
        <f t="shared" ref="AC11:AF11" si="21">+AB11*1.05</f>
        <v>271.79551764028139</v>
      </c>
      <c r="AD11" s="2">
        <f t="shared" si="21"/>
        <v>285.38529352229546</v>
      </c>
      <c r="AE11" s="2">
        <f t="shared" si="21"/>
        <v>299.65455819841026</v>
      </c>
      <c r="AF11" s="2">
        <f t="shared" si="21"/>
        <v>314.63728610833078</v>
      </c>
    </row>
    <row r="12" spans="1:32" s="2" customFormat="1" x14ac:dyDescent="0.2">
      <c r="B12" s="2" t="s">
        <v>27</v>
      </c>
      <c r="C12" s="5"/>
      <c r="D12" s="5"/>
      <c r="E12" s="5">
        <f t="shared" ref="E12:L12" si="22">SUM(E9:E11)</f>
        <v>162.869</v>
      </c>
      <c r="F12" s="5">
        <f t="shared" si="22"/>
        <v>168.62199999999999</v>
      </c>
      <c r="G12" s="5">
        <f t="shared" si="22"/>
        <v>160.56299999999999</v>
      </c>
      <c r="H12" s="5">
        <f t="shared" si="22"/>
        <v>163.50700000000001</v>
      </c>
      <c r="I12" s="5">
        <f t="shared" si="22"/>
        <v>166.02199999999999</v>
      </c>
      <c r="J12" s="5">
        <f t="shared" si="22"/>
        <v>173.14299999999997</v>
      </c>
      <c r="K12" s="5">
        <f t="shared" si="22"/>
        <v>171.42</v>
      </c>
      <c r="L12" s="5">
        <f t="shared" si="22"/>
        <v>189.74300000000002</v>
      </c>
      <c r="M12" s="5">
        <f t="shared" ref="M12:N12" si="23">SUM(M9:M11)</f>
        <v>189.76895000000002</v>
      </c>
      <c r="N12" s="5">
        <f t="shared" si="23"/>
        <v>191.66645</v>
      </c>
      <c r="P12" s="2">
        <f>SUM(P9:P11)</f>
        <v>165.58499999999998</v>
      </c>
      <c r="Q12" s="2">
        <f>SUM(Q9:Q11)</f>
        <v>253.27899999999997</v>
      </c>
      <c r="R12" s="2">
        <f>SUM(R9:R11)</f>
        <v>497.774</v>
      </c>
      <c r="S12" s="2">
        <f>SUM(S9:S11)</f>
        <v>635.59899999999993</v>
      </c>
      <c r="T12" s="2">
        <f>SUM(T9:T11)</f>
        <v>663.2349999999999</v>
      </c>
      <c r="U12" s="2">
        <f t="shared" ref="U12" si="24">SUM(U9:U11)</f>
        <v>692.59839999999997</v>
      </c>
      <c r="V12" s="2">
        <f t="shared" ref="V12" si="25">SUM(V9:V11)</f>
        <v>779.82501000000002</v>
      </c>
      <c r="W12" s="2">
        <f t="shared" ref="W12" si="26">SUM(W9:W11)</f>
        <v>860.13983150000001</v>
      </c>
      <c r="X12" s="2">
        <f t="shared" ref="X12" si="27">SUM(X9:X11)</f>
        <v>950.668929725</v>
      </c>
      <c r="Y12" s="2">
        <f t="shared" ref="Y12" si="28">SUM(Y9:Y11)</f>
        <v>1025.5275875350001</v>
      </c>
      <c r="Z12" s="2">
        <f t="shared" ref="Z12" si="29">SUM(Z9:Z11)</f>
        <v>1106.861699367875</v>
      </c>
      <c r="AA12" s="2">
        <f t="shared" ref="AA12" si="30">SUM(AA9:AA11)</f>
        <v>1195.2682900380064</v>
      </c>
      <c r="AB12" s="2">
        <f t="shared" ref="AB12" si="31">SUM(AB9:AB11)</f>
        <v>1291.4015608118179</v>
      </c>
      <c r="AC12" s="2">
        <f t="shared" ref="AC12" si="32">SUM(AC9:AC11)</f>
        <v>1355.9716388524089</v>
      </c>
      <c r="AD12" s="2">
        <f t="shared" ref="AD12" si="33">SUM(AD9:AD11)</f>
        <v>1423.7702207950292</v>
      </c>
      <c r="AE12" s="2">
        <f t="shared" ref="AE12" si="34">SUM(AE9:AE11)</f>
        <v>1494.958731834781</v>
      </c>
      <c r="AF12" s="2">
        <f t="shared" ref="AF12" si="35">SUM(AF9:AF11)</f>
        <v>1569.7066684265201</v>
      </c>
    </row>
    <row r="13" spans="1:32" s="2" customFormat="1" x14ac:dyDescent="0.2">
      <c r="B13" s="2" t="s">
        <v>28</v>
      </c>
      <c r="C13" s="5"/>
      <c r="D13" s="5"/>
      <c r="E13" s="5">
        <f t="shared" ref="E13:L13" si="36">E8-E12</f>
        <v>-58.288000000000011</v>
      </c>
      <c r="F13" s="5">
        <f t="shared" si="36"/>
        <v>-60.608000000000004</v>
      </c>
      <c r="G13" s="5">
        <f t="shared" si="36"/>
        <v>-48.106999999999985</v>
      </c>
      <c r="H13" s="5">
        <f t="shared" si="36"/>
        <v>-43.289000000000001</v>
      </c>
      <c r="I13" s="5">
        <f t="shared" si="36"/>
        <v>-38.734999999999985</v>
      </c>
      <c r="J13" s="5">
        <f t="shared" si="36"/>
        <v>-40.040999999999997</v>
      </c>
      <c r="K13" s="5">
        <f t="shared" si="36"/>
        <v>-32.167000000000002</v>
      </c>
      <c r="L13" s="5">
        <f t="shared" si="36"/>
        <v>-43.787000000000035</v>
      </c>
      <c r="M13" s="5">
        <f t="shared" ref="M13:N13" si="37">M8-M12</f>
        <v>-34.990550000000013</v>
      </c>
      <c r="N13" s="5">
        <f t="shared" si="37"/>
        <v>-30.274562000000003</v>
      </c>
      <c r="P13" s="2">
        <f>+P8-P12</f>
        <v>-29.669999999999959</v>
      </c>
      <c r="Q13" s="2">
        <f>+Q8-Q12</f>
        <v>-56.111999999999966</v>
      </c>
      <c r="R13" s="2">
        <f>+R8-R12</f>
        <v>-204.80399999999997</v>
      </c>
      <c r="S13" s="2">
        <f>+S8-S12</f>
        <v>-233.37099999999992</v>
      </c>
      <c r="T13" s="2">
        <f>+T8-T12</f>
        <v>-170.17199999999991</v>
      </c>
      <c r="U13" s="2">
        <f t="shared" ref="U13" si="38">+U8-U12</f>
        <v>-91.219111999999996</v>
      </c>
      <c r="V13" s="2">
        <f t="shared" ref="V13" si="39">+V8-V12</f>
        <v>-49.844466000000125</v>
      </c>
      <c r="W13" s="2">
        <f>+W8-W12</f>
        <v>15.83682129999977</v>
      </c>
      <c r="X13" s="2">
        <f t="shared" ref="X13" si="40">+X8-X12</f>
        <v>56.704220994999673</v>
      </c>
      <c r="Y13" s="2">
        <f t="shared" ref="Y13" si="41">+Y8-Y12</f>
        <v>132.95153579299949</v>
      </c>
      <c r="Z13" s="2">
        <f t="shared" ref="Z13" si="42">+Z8-Z12</f>
        <v>225.38929245932422</v>
      </c>
      <c r="AA13" s="2">
        <f t="shared" ref="AA13" si="43">+AA8-AA12</f>
        <v>336.82035056327277</v>
      </c>
      <c r="AB13" s="2">
        <f t="shared" ref="AB13" si="44">+AB8-AB12</f>
        <v>393.89594384958923</v>
      </c>
      <c r="AC13" s="2">
        <f t="shared" ref="AC13" si="45">+AC8-AC12</f>
        <v>497.85561627513903</v>
      </c>
      <c r="AD13" s="2">
        <f t="shared" ref="AD13" si="46">+AD8-AD12</f>
        <v>615.43975984527356</v>
      </c>
      <c r="AE13" s="2">
        <f t="shared" ref="AE13" si="47">+AE8-AE12</f>
        <v>748.17224686955228</v>
      </c>
      <c r="AF13" s="2">
        <f t="shared" ref="AF13" si="48">+AF8-AF12</f>
        <v>897.73740814824669</v>
      </c>
    </row>
    <row r="14" spans="1:32" s="2" customFormat="1" x14ac:dyDescent="0.2">
      <c r="B14" s="2" t="s">
        <v>29</v>
      </c>
      <c r="C14" s="5"/>
      <c r="D14" s="5"/>
      <c r="E14" s="5">
        <v>2.2490000000000001</v>
      </c>
      <c r="F14" s="5">
        <v>9.9730000000000008</v>
      </c>
      <c r="G14" s="5">
        <v>9.4789999999999992</v>
      </c>
      <c r="H14" s="5">
        <v>11.215999999999999</v>
      </c>
      <c r="I14" s="5">
        <v>10.993</v>
      </c>
      <c r="J14" s="5">
        <v>14.715</v>
      </c>
      <c r="K14" s="5">
        <v>12.795</v>
      </c>
      <c r="L14" s="5">
        <v>13.247</v>
      </c>
      <c r="M14" s="5">
        <f>+L14</f>
        <v>13.247</v>
      </c>
      <c r="N14" s="5">
        <f>+M14</f>
        <v>13.247</v>
      </c>
      <c r="P14" s="2">
        <v>2.1800000000000002</v>
      </c>
      <c r="Q14" s="2">
        <v>2.8330000000000002</v>
      </c>
      <c r="R14" s="2">
        <v>23.303000000000001</v>
      </c>
      <c r="S14" s="2">
        <v>12.582000000000001</v>
      </c>
      <c r="T14" s="2">
        <f t="shared" ref="T14:T16" si="49">SUM(G14:J14)</f>
        <v>46.403000000000006</v>
      </c>
      <c r="U14" s="2">
        <f t="shared" ref="U14:U16" si="50">SUM(K14:N14)</f>
        <v>52.536000000000001</v>
      </c>
      <c r="V14" s="2">
        <f t="shared" ref="V14:AB14" si="51">+U24*$AD$29</f>
        <v>29.410286639999999</v>
      </c>
      <c r="W14" s="2">
        <f t="shared" si="51"/>
        <v>28.919866335359998</v>
      </c>
      <c r="X14" s="2">
        <f t="shared" si="51"/>
        <v>29.994026838608633</v>
      </c>
      <c r="Y14" s="2">
        <f t="shared" si="51"/>
        <v>32.074784786615226</v>
      </c>
      <c r="Z14" s="2">
        <f t="shared" si="51"/>
        <v>36.035416480525981</v>
      </c>
      <c r="AA14" s="2">
        <f t="shared" si="51"/>
        <v>42.309609495082391</v>
      </c>
      <c r="AB14" s="2">
        <f t="shared" si="51"/>
        <v>51.408728536482911</v>
      </c>
      <c r="AC14" s="2">
        <f t="shared" ref="AC14:AF14" si="52">+AB24*$AD$29</f>
        <v>62.096040673748639</v>
      </c>
      <c r="AD14" s="2">
        <f t="shared" si="52"/>
        <v>75.534880440521945</v>
      </c>
      <c r="AE14" s="2">
        <f t="shared" si="52"/>
        <v>92.118271807381049</v>
      </c>
      <c r="AF14" s="2">
        <f t="shared" si="52"/>
        <v>112.28524425562745</v>
      </c>
    </row>
    <row r="15" spans="1:32" s="2" customFormat="1" x14ac:dyDescent="0.2">
      <c r="B15" s="2" t="s">
        <v>30</v>
      </c>
      <c r="C15" s="5"/>
      <c r="D15" s="5"/>
      <c r="E15" s="5">
        <f t="shared" ref="E15:L15" si="53">+E13+E14</f>
        <v>-56.039000000000009</v>
      </c>
      <c r="F15" s="5">
        <f t="shared" si="53"/>
        <v>-50.635000000000005</v>
      </c>
      <c r="G15" s="5">
        <f t="shared" si="53"/>
        <v>-38.627999999999986</v>
      </c>
      <c r="H15" s="5">
        <f t="shared" si="53"/>
        <v>-32.073</v>
      </c>
      <c r="I15" s="5">
        <f t="shared" si="53"/>
        <v>-27.741999999999983</v>
      </c>
      <c r="J15" s="5">
        <f t="shared" si="53"/>
        <v>-25.325999999999997</v>
      </c>
      <c r="K15" s="5">
        <f t="shared" si="53"/>
        <v>-19.372</v>
      </c>
      <c r="L15" s="5">
        <f t="shared" si="53"/>
        <v>-30.540000000000035</v>
      </c>
      <c r="M15" s="5">
        <f t="shared" ref="M15:N15" si="54">+M13+M14</f>
        <v>-21.743550000000013</v>
      </c>
      <c r="N15" s="5">
        <f t="shared" si="54"/>
        <v>-17.027562000000003</v>
      </c>
      <c r="P15" s="2">
        <f t="shared" ref="P15:U15" si="55">+P13+P14</f>
        <v>-27.489999999999959</v>
      </c>
      <c r="Q15" s="2">
        <f t="shared" si="55"/>
        <v>-53.278999999999968</v>
      </c>
      <c r="R15" s="2">
        <f t="shared" si="55"/>
        <v>-181.50099999999998</v>
      </c>
      <c r="S15" s="2">
        <f t="shared" si="55"/>
        <v>-220.78899999999993</v>
      </c>
      <c r="T15" s="2">
        <f t="shared" si="55"/>
        <v>-123.76899999999991</v>
      </c>
      <c r="U15" s="2">
        <f t="shared" si="55"/>
        <v>-38.683111999999994</v>
      </c>
      <c r="V15" s="2">
        <f t="shared" ref="V15:AA15" si="56">+V13+V14</f>
        <v>-20.434179360000126</v>
      </c>
      <c r="W15" s="2">
        <f t="shared" si="56"/>
        <v>44.756687635359768</v>
      </c>
      <c r="X15" s="2">
        <f t="shared" si="56"/>
        <v>86.698247833608306</v>
      </c>
      <c r="Y15" s="2">
        <f t="shared" si="56"/>
        <v>165.02632057961472</v>
      </c>
      <c r="Z15" s="2">
        <f t="shared" si="56"/>
        <v>261.42470893985023</v>
      </c>
      <c r="AA15" s="2">
        <f t="shared" si="56"/>
        <v>379.12996005835515</v>
      </c>
      <c r="AB15" s="2">
        <f t="shared" ref="AB15" si="57">+AB13+AB14</f>
        <v>445.30467238607213</v>
      </c>
      <c r="AC15" s="2">
        <f t="shared" ref="AC15" si="58">+AC13+AC14</f>
        <v>559.95165694888772</v>
      </c>
      <c r="AD15" s="2">
        <f t="shared" ref="AD15" si="59">+AD13+AD14</f>
        <v>690.97464028579554</v>
      </c>
      <c r="AE15" s="2">
        <f t="shared" ref="AE15" si="60">+AE13+AE14</f>
        <v>840.29051867693329</v>
      </c>
      <c r="AF15" s="2">
        <f t="shared" ref="AF15" si="61">+AF13+AF14</f>
        <v>1010.0226524038742</v>
      </c>
    </row>
    <row r="16" spans="1:32" s="2" customFormat="1" x14ac:dyDescent="0.2">
      <c r="B16" s="2" t="s">
        <v>31</v>
      </c>
      <c r="C16" s="5"/>
      <c r="D16" s="5"/>
      <c r="E16" s="5">
        <v>1.804</v>
      </c>
      <c r="F16" s="5">
        <v>4.8419999999999996</v>
      </c>
      <c r="G16" s="5">
        <v>4.0359999999999996</v>
      </c>
      <c r="H16" s="5">
        <v>3.585</v>
      </c>
      <c r="I16" s="5">
        <v>3.2909999999999999</v>
      </c>
      <c r="J16" s="5">
        <v>2.7549999999999999</v>
      </c>
      <c r="K16" s="5">
        <v>3.9529999999999998</v>
      </c>
      <c r="L16" s="5">
        <v>-10.356</v>
      </c>
      <c r="M16" s="5">
        <v>0</v>
      </c>
      <c r="N16" s="5">
        <v>0</v>
      </c>
      <c r="P16" s="2">
        <v>3.6349999999999998</v>
      </c>
      <c r="Q16" s="2">
        <v>4.0149999999999997</v>
      </c>
      <c r="R16" s="2">
        <v>10.516</v>
      </c>
      <c r="S16" s="2">
        <v>11.342000000000001</v>
      </c>
      <c r="T16" s="2">
        <f t="shared" si="49"/>
        <v>13.666999999999998</v>
      </c>
      <c r="U16" s="2">
        <f t="shared" si="50"/>
        <v>-6.4030000000000005</v>
      </c>
      <c r="V16" s="2">
        <f t="shared" ref="V16:AA16" si="62">+V15*0.2</f>
        <v>-4.0868358720000257</v>
      </c>
      <c r="W16" s="2">
        <f t="shared" si="62"/>
        <v>8.9513375270719546</v>
      </c>
      <c r="X16" s="2">
        <f t="shared" si="62"/>
        <v>17.339649566721661</v>
      </c>
      <c r="Y16" s="2">
        <f t="shared" si="62"/>
        <v>33.005264115922948</v>
      </c>
      <c r="Z16" s="2">
        <f t="shared" si="62"/>
        <v>52.284941787970048</v>
      </c>
      <c r="AA16" s="2">
        <f t="shared" si="62"/>
        <v>75.825992011671033</v>
      </c>
      <c r="AB16" s="2">
        <f t="shared" ref="AB16" si="63">+AB15*0.2</f>
        <v>89.060934477214431</v>
      </c>
      <c r="AC16" s="2">
        <f t="shared" ref="AC16" si="64">+AC15*0.2</f>
        <v>111.99033138977755</v>
      </c>
      <c r="AD16" s="2">
        <f t="shared" ref="AD16" si="65">+AD15*0.2</f>
        <v>138.1949280571591</v>
      </c>
      <c r="AE16" s="2">
        <f t="shared" ref="AE16" si="66">+AE15*0.2</f>
        <v>168.05810373538668</v>
      </c>
      <c r="AF16" s="2">
        <f t="shared" ref="AF16" si="67">+AF15*0.2</f>
        <v>202.00453048077486</v>
      </c>
    </row>
    <row r="17" spans="2:77" s="2" customFormat="1" x14ac:dyDescent="0.2">
      <c r="B17" s="2" t="s">
        <v>32</v>
      </c>
      <c r="C17" s="5"/>
      <c r="D17" s="5"/>
      <c r="E17" s="5">
        <f t="shared" ref="E17:L17" si="68">+E15-E16</f>
        <v>-57.843000000000011</v>
      </c>
      <c r="F17" s="5">
        <f t="shared" si="68"/>
        <v>-55.477000000000004</v>
      </c>
      <c r="G17" s="5">
        <f t="shared" si="68"/>
        <v>-42.663999999999987</v>
      </c>
      <c r="H17" s="5">
        <f t="shared" si="68"/>
        <v>-35.658000000000001</v>
      </c>
      <c r="I17" s="5">
        <f t="shared" si="68"/>
        <v>-31.032999999999983</v>
      </c>
      <c r="J17" s="5">
        <f t="shared" si="68"/>
        <v>-28.080999999999996</v>
      </c>
      <c r="K17" s="5">
        <f t="shared" si="68"/>
        <v>-23.324999999999999</v>
      </c>
      <c r="L17" s="5">
        <f t="shared" si="68"/>
        <v>-20.184000000000033</v>
      </c>
      <c r="M17" s="5">
        <f t="shared" ref="M17:N17" si="69">+M15-M16</f>
        <v>-21.743550000000013</v>
      </c>
      <c r="N17" s="5">
        <f t="shared" si="69"/>
        <v>-17.027562000000003</v>
      </c>
      <c r="P17" s="2">
        <f t="shared" ref="P17:U17" si="70">+P15-P16</f>
        <v>-31.124999999999957</v>
      </c>
      <c r="Q17" s="2">
        <f t="shared" si="70"/>
        <v>-57.293999999999969</v>
      </c>
      <c r="R17" s="2">
        <f t="shared" si="70"/>
        <v>-192.01699999999997</v>
      </c>
      <c r="S17" s="2">
        <f t="shared" si="70"/>
        <v>-232.13099999999994</v>
      </c>
      <c r="T17" s="2">
        <f t="shared" si="70"/>
        <v>-137.43599999999989</v>
      </c>
      <c r="U17" s="2">
        <f t="shared" si="70"/>
        <v>-32.280111999999995</v>
      </c>
      <c r="V17" s="2">
        <f t="shared" ref="V17:AA17" si="71">+V15-V16</f>
        <v>-16.347343488000099</v>
      </c>
      <c r="W17" s="2">
        <f t="shared" si="71"/>
        <v>35.805350108287811</v>
      </c>
      <c r="X17" s="2">
        <f t="shared" si="71"/>
        <v>69.358598266886645</v>
      </c>
      <c r="Y17" s="2">
        <f t="shared" si="71"/>
        <v>132.02105646369176</v>
      </c>
      <c r="Z17" s="2">
        <f t="shared" si="71"/>
        <v>209.13976715188019</v>
      </c>
      <c r="AA17" s="2">
        <f t="shared" si="71"/>
        <v>303.30396804668413</v>
      </c>
      <c r="AB17" s="2">
        <f t="shared" ref="AB17" si="72">+AB15-AB16</f>
        <v>356.24373790885772</v>
      </c>
      <c r="AC17" s="2">
        <f t="shared" ref="AC17" si="73">+AC15-AC16</f>
        <v>447.96132555911015</v>
      </c>
      <c r="AD17" s="2">
        <f t="shared" ref="AD17" si="74">+AD15-AD16</f>
        <v>552.77971222863641</v>
      </c>
      <c r="AE17" s="2">
        <f t="shared" ref="AE17" si="75">+AE15-AE16</f>
        <v>672.23241494154661</v>
      </c>
      <c r="AF17" s="2">
        <f t="shared" ref="AF17" si="76">+AF15-AF16</f>
        <v>808.01812192309933</v>
      </c>
      <c r="AG17" s="2">
        <f t="shared" ref="AG17:BY17" si="77">AF17*(1+$AD$27)</f>
        <v>799.93794070386832</v>
      </c>
      <c r="AH17" s="2">
        <f t="shared" si="77"/>
        <v>791.93856129682968</v>
      </c>
      <c r="AI17" s="2">
        <f t="shared" si="77"/>
        <v>784.01917568386136</v>
      </c>
      <c r="AJ17" s="2">
        <f t="shared" si="77"/>
        <v>776.17898392702273</v>
      </c>
      <c r="AK17" s="2">
        <f t="shared" si="77"/>
        <v>768.41719408775248</v>
      </c>
      <c r="AL17" s="2">
        <f t="shared" si="77"/>
        <v>760.73302214687499</v>
      </c>
      <c r="AM17" s="2">
        <f t="shared" si="77"/>
        <v>753.12569192540627</v>
      </c>
      <c r="AN17" s="2">
        <f t="shared" si="77"/>
        <v>745.59443500615225</v>
      </c>
      <c r="AO17" s="2">
        <f t="shared" si="77"/>
        <v>738.13849065609077</v>
      </c>
      <c r="AP17" s="2">
        <f t="shared" si="77"/>
        <v>730.75710574952984</v>
      </c>
      <c r="AQ17" s="2">
        <f t="shared" si="77"/>
        <v>723.44953469203449</v>
      </c>
      <c r="AR17" s="2">
        <f t="shared" si="77"/>
        <v>716.21503934511418</v>
      </c>
      <c r="AS17" s="2">
        <f t="shared" si="77"/>
        <v>709.05288895166302</v>
      </c>
      <c r="AT17" s="2">
        <f t="shared" si="77"/>
        <v>701.96236006214633</v>
      </c>
      <c r="AU17" s="2">
        <f t="shared" si="77"/>
        <v>694.94273646152487</v>
      </c>
      <c r="AV17" s="2">
        <f t="shared" si="77"/>
        <v>687.99330909690957</v>
      </c>
      <c r="AW17" s="2">
        <f t="shared" si="77"/>
        <v>681.11337600594049</v>
      </c>
      <c r="AX17" s="2">
        <f t="shared" si="77"/>
        <v>674.30224224588108</v>
      </c>
      <c r="AY17" s="2">
        <f t="shared" si="77"/>
        <v>667.55921982342227</v>
      </c>
      <c r="AZ17" s="2">
        <f t="shared" si="77"/>
        <v>660.88362762518807</v>
      </c>
      <c r="BA17" s="2">
        <f t="shared" si="77"/>
        <v>654.27479134893622</v>
      </c>
      <c r="BB17" s="2">
        <f t="shared" si="77"/>
        <v>647.73204343544683</v>
      </c>
      <c r="BC17" s="2">
        <f t="shared" si="77"/>
        <v>641.25472300109232</v>
      </c>
      <c r="BD17" s="2">
        <f t="shared" si="77"/>
        <v>634.84217577108143</v>
      </c>
      <c r="BE17" s="2">
        <f t="shared" si="77"/>
        <v>628.49375401337056</v>
      </c>
      <c r="BF17" s="2">
        <f t="shared" si="77"/>
        <v>622.20881647323688</v>
      </c>
      <c r="BG17" s="2">
        <f t="shared" si="77"/>
        <v>615.98672830850455</v>
      </c>
      <c r="BH17" s="2">
        <f t="shared" si="77"/>
        <v>609.82686102541948</v>
      </c>
      <c r="BI17" s="2">
        <f t="shared" si="77"/>
        <v>603.72859241516528</v>
      </c>
      <c r="BJ17" s="2">
        <f t="shared" si="77"/>
        <v>597.69130649101362</v>
      </c>
      <c r="BK17" s="2">
        <f t="shared" si="77"/>
        <v>591.71439342610347</v>
      </c>
      <c r="BL17" s="2">
        <f t="shared" si="77"/>
        <v>585.79724949184242</v>
      </c>
      <c r="BM17" s="2">
        <f t="shared" si="77"/>
        <v>579.93927699692404</v>
      </c>
      <c r="BN17" s="2">
        <f t="shared" si="77"/>
        <v>574.13988422695479</v>
      </c>
      <c r="BO17" s="2">
        <f t="shared" si="77"/>
        <v>568.39848538468527</v>
      </c>
      <c r="BP17" s="2">
        <f t="shared" si="77"/>
        <v>562.71450053083845</v>
      </c>
      <c r="BQ17" s="2">
        <f t="shared" si="77"/>
        <v>557.08735552553003</v>
      </c>
      <c r="BR17" s="2">
        <f t="shared" si="77"/>
        <v>551.51648197027475</v>
      </c>
      <c r="BS17" s="2">
        <f t="shared" si="77"/>
        <v>546.00131715057205</v>
      </c>
      <c r="BT17" s="2">
        <f t="shared" si="77"/>
        <v>540.54130397906636</v>
      </c>
      <c r="BU17" s="2">
        <f t="shared" si="77"/>
        <v>535.13589093927567</v>
      </c>
      <c r="BV17" s="2">
        <f t="shared" si="77"/>
        <v>529.78453202988294</v>
      </c>
      <c r="BW17" s="2">
        <f t="shared" si="77"/>
        <v>524.48668670958409</v>
      </c>
      <c r="BX17" s="2">
        <f t="shared" si="77"/>
        <v>519.24181984248821</v>
      </c>
      <c r="BY17" s="2">
        <f t="shared" si="77"/>
        <v>514.04940164406332</v>
      </c>
    </row>
    <row r="18" spans="2:77" x14ac:dyDescent="0.2">
      <c r="B18" s="1" t="s">
        <v>33</v>
      </c>
      <c r="E18" s="9">
        <f t="shared" ref="E18:L18" si="78">E17/E19</f>
        <v>-0.20175655831766642</v>
      </c>
      <c r="F18" s="9">
        <f t="shared" si="78"/>
        <v>-0.19232329255313618</v>
      </c>
      <c r="G18" s="9">
        <f t="shared" si="78"/>
        <v>-0.14704980129802536</v>
      </c>
      <c r="H18" s="9">
        <f t="shared" si="78"/>
        <v>-0.12211852942687375</v>
      </c>
      <c r="I18" s="9">
        <f t="shared" si="78"/>
        <v>-0.10550202960434608</v>
      </c>
      <c r="J18" s="9">
        <f t="shared" si="78"/>
        <v>-9.4867922743504238E-2</v>
      </c>
      <c r="K18" s="9">
        <f t="shared" si="78"/>
        <v>-7.8305972404068891E-2</v>
      </c>
      <c r="L18" s="9">
        <f t="shared" si="78"/>
        <v>-6.7323760444288894E-2</v>
      </c>
      <c r="M18" s="9">
        <f t="shared" ref="M18:N18" si="79">M17/M19</f>
        <v>-7.252564166708364E-2</v>
      </c>
      <c r="N18" s="9">
        <f t="shared" si="79"/>
        <v>-5.6795457047080611E-2</v>
      </c>
      <c r="P18" s="4">
        <f t="shared" ref="P18:U18" si="80">P17/P19</f>
        <v>-0.40938326165015926</v>
      </c>
      <c r="Q18" s="4">
        <f t="shared" si="80"/>
        <v>-0.74460978621092955</v>
      </c>
      <c r="R18" s="4">
        <f t="shared" si="80"/>
        <v>-1.4696828215411932</v>
      </c>
      <c r="S18" s="4">
        <f t="shared" si="80"/>
        <v>-0.81567675262749162</v>
      </c>
      <c r="T18" s="4">
        <f t="shared" si="80"/>
        <v>-0.46895481009148848</v>
      </c>
      <c r="U18" s="4">
        <f t="shared" si="80"/>
        <v>-0.10784437122322586</v>
      </c>
      <c r="V18" s="4">
        <f t="shared" ref="V18:AA18" si="81">V17/V19</f>
        <v>-5.4614710743056495E-2</v>
      </c>
      <c r="W18" s="4">
        <f t="shared" si="81"/>
        <v>0.11962181137586392</v>
      </c>
      <c r="X18" s="4">
        <f t="shared" si="81"/>
        <v>0.23171959313575846</v>
      </c>
      <c r="Y18" s="4">
        <f t="shared" si="81"/>
        <v>0.44106810479941455</v>
      </c>
      <c r="Z18" s="4">
        <f t="shared" si="81"/>
        <v>0.69871339623190865</v>
      </c>
      <c r="AA18" s="4">
        <f t="shared" si="81"/>
        <v>1.0133058312655185</v>
      </c>
      <c r="AB18" s="4">
        <f t="shared" ref="AB18" si="82">AB17/AB19</f>
        <v>1.1901718902645826</v>
      </c>
      <c r="AC18" s="4">
        <f t="shared" ref="AC18" si="83">AC17/AC19</f>
        <v>1.4965904544335229</v>
      </c>
      <c r="AD18" s="4">
        <f t="shared" ref="AD18" si="84">AD17/AD19</f>
        <v>1.8467773745720906</v>
      </c>
      <c r="AE18" s="4">
        <f t="shared" ref="AE18" si="85">AE17/AE19</f>
        <v>2.2458559655939783</v>
      </c>
      <c r="AF18" s="4">
        <f t="shared" ref="AF18" si="86">AF17/AF19</f>
        <v>2.6995013615742258</v>
      </c>
    </row>
    <row r="19" spans="2:77" x14ac:dyDescent="0.2">
      <c r="B19" s="1" t="s">
        <v>1</v>
      </c>
      <c r="E19" s="5">
        <v>286.697</v>
      </c>
      <c r="F19" s="5">
        <v>288.45699999999999</v>
      </c>
      <c r="G19" s="5">
        <v>290.13299999999998</v>
      </c>
      <c r="H19" s="5">
        <v>291.995</v>
      </c>
      <c r="I19" s="5">
        <v>294.14600000000002</v>
      </c>
      <c r="J19" s="5">
        <v>296.00099999999998</v>
      </c>
      <c r="K19" s="5">
        <v>297.87</v>
      </c>
      <c r="L19" s="5">
        <v>299.80500000000001</v>
      </c>
      <c r="M19" s="5">
        <f>+L19</f>
        <v>299.80500000000001</v>
      </c>
      <c r="N19" s="5">
        <f>+M19</f>
        <v>299.80500000000001</v>
      </c>
      <c r="P19" s="2">
        <v>76.028999999999996</v>
      </c>
      <c r="Q19" s="2">
        <v>76.944999999999993</v>
      </c>
      <c r="R19" s="2">
        <v>130.65199999999999</v>
      </c>
      <c r="S19" s="2">
        <v>284.58699999999999</v>
      </c>
      <c r="T19" s="2">
        <f>AVERAGE(G19:J19)</f>
        <v>293.06874999999997</v>
      </c>
      <c r="U19" s="2">
        <f>AVERAGE(K19:N19)</f>
        <v>299.32125000000002</v>
      </c>
      <c r="V19" s="2">
        <f t="shared" ref="V19:AA19" si="87">+U19</f>
        <v>299.32125000000002</v>
      </c>
      <c r="W19" s="2">
        <f t="shared" si="87"/>
        <v>299.32125000000002</v>
      </c>
      <c r="X19" s="2">
        <f t="shared" si="87"/>
        <v>299.32125000000002</v>
      </c>
      <c r="Y19" s="2">
        <f t="shared" si="87"/>
        <v>299.32125000000002</v>
      </c>
      <c r="Z19" s="2">
        <f t="shared" si="87"/>
        <v>299.32125000000002</v>
      </c>
      <c r="AA19" s="2">
        <f t="shared" si="87"/>
        <v>299.32125000000002</v>
      </c>
      <c r="AB19" s="2">
        <f t="shared" ref="AB19" si="88">+AA19</f>
        <v>299.32125000000002</v>
      </c>
      <c r="AC19" s="2">
        <f t="shared" ref="AC19:AF19" si="89">+AB19</f>
        <v>299.32125000000002</v>
      </c>
      <c r="AD19" s="2">
        <f t="shared" si="89"/>
        <v>299.32125000000002</v>
      </c>
      <c r="AE19" s="2">
        <f t="shared" si="89"/>
        <v>299.32125000000002</v>
      </c>
      <c r="AF19" s="2">
        <f t="shared" si="89"/>
        <v>299.32125000000002</v>
      </c>
    </row>
    <row r="21" spans="2:77" x14ac:dyDescent="0.2">
      <c r="B21" s="1" t="s">
        <v>34</v>
      </c>
      <c r="I21" s="8">
        <f>+I6/E6-1</f>
        <v>0.19252873563218409</v>
      </c>
      <c r="J21" s="8">
        <f>+J6/F6-1</f>
        <v>0.2023053240219268</v>
      </c>
      <c r="K21" s="8">
        <f>+K6/G6-1</f>
        <v>0.19936524997821214</v>
      </c>
      <c r="L21" s="8">
        <f>+L6/H6-1</f>
        <v>0.20024951922745537</v>
      </c>
      <c r="M21" s="8">
        <f t="shared" ref="M21:N21" si="90">+M6/I6-1</f>
        <v>0.19999999999999996</v>
      </c>
      <c r="N21" s="8">
        <f t="shared" si="90"/>
        <v>0.19999999999999996</v>
      </c>
      <c r="Q21" s="12">
        <f t="shared" ref="Q21:AA21" si="91">Q6/P6-1</f>
        <v>0.44833127389384875</v>
      </c>
      <c r="R21" s="12">
        <f t="shared" si="91"/>
        <v>0.48602694074717911</v>
      </c>
      <c r="S21" s="12">
        <f t="shared" si="91"/>
        <v>0.34231805929919146</v>
      </c>
      <c r="T21" s="12">
        <f t="shared" si="91"/>
        <v>0.19765461847389565</v>
      </c>
      <c r="U21" s="12">
        <f t="shared" si="91"/>
        <v>0.19991415618209607</v>
      </c>
      <c r="V21" s="12">
        <f t="shared" si="91"/>
        <v>0.19999999999999996</v>
      </c>
      <c r="W21" s="12">
        <f t="shared" si="91"/>
        <v>0.19999999999999996</v>
      </c>
      <c r="X21" s="12">
        <f t="shared" si="91"/>
        <v>0.14999999999999991</v>
      </c>
      <c r="Y21" s="12">
        <f t="shared" si="91"/>
        <v>0.14999999999999991</v>
      </c>
      <c r="Z21" s="12">
        <f t="shared" si="91"/>
        <v>0.14999999999999991</v>
      </c>
      <c r="AA21" s="12">
        <f t="shared" si="91"/>
        <v>0.14999999999999991</v>
      </c>
      <c r="AB21" s="12">
        <f t="shared" ref="AB21:AF21" si="92">AB6/AA6-1</f>
        <v>0.10000000000000009</v>
      </c>
      <c r="AC21" s="12">
        <f t="shared" si="92"/>
        <v>0.10000000000000009</v>
      </c>
      <c r="AD21" s="12">
        <f t="shared" si="92"/>
        <v>0.10000000000000009</v>
      </c>
      <c r="AE21" s="12">
        <f t="shared" si="92"/>
        <v>0.10000000000000009</v>
      </c>
      <c r="AF21" s="12">
        <f t="shared" si="92"/>
        <v>0.10000000000000009</v>
      </c>
    </row>
    <row r="22" spans="2:77" x14ac:dyDescent="0.2">
      <c r="B22" s="1" t="s">
        <v>35</v>
      </c>
      <c r="E22" s="8">
        <f t="shared" ref="E22:L22" si="93">E8/E6</f>
        <v>0.81221652687169921</v>
      </c>
      <c r="F22" s="8">
        <f t="shared" si="93"/>
        <v>0.81109859577983023</v>
      </c>
      <c r="G22" s="8">
        <f t="shared" si="93"/>
        <v>0.81672137814833101</v>
      </c>
      <c r="H22" s="8">
        <f t="shared" si="93"/>
        <v>0.82863819022739338</v>
      </c>
      <c r="I22" s="8">
        <f t="shared" si="93"/>
        <v>0.8289612504070335</v>
      </c>
      <c r="J22" s="8">
        <f t="shared" si="93"/>
        <v>0.83131077814765997</v>
      </c>
      <c r="K22" s="8">
        <f t="shared" si="93"/>
        <v>0.84322677921558886</v>
      </c>
      <c r="L22" s="8">
        <f t="shared" si="93"/>
        <v>0.83819653019852858</v>
      </c>
      <c r="M22" s="8">
        <f t="shared" ref="M22:AF22" si="94">M8/M6</f>
        <v>0.84</v>
      </c>
      <c r="N22" s="8">
        <f t="shared" si="94"/>
        <v>0.84</v>
      </c>
      <c r="P22" s="8">
        <f t="shared" ref="P22" si="95">P8/P6</f>
        <v>0.78847526062061657</v>
      </c>
      <c r="Q22" s="8">
        <f t="shared" si="94"/>
        <v>0.78974521246980889</v>
      </c>
      <c r="R22" s="8">
        <f t="shared" si="94"/>
        <v>0.78967654986522917</v>
      </c>
      <c r="S22" s="8">
        <f t="shared" si="94"/>
        <v>0.80768674698795184</v>
      </c>
      <c r="T22" s="8">
        <f t="shared" si="94"/>
        <v>0.82668770287308524</v>
      </c>
      <c r="U22" s="8">
        <f t="shared" si="94"/>
        <v>0.84030578458814376</v>
      </c>
      <c r="V22" s="8">
        <f t="shared" si="94"/>
        <v>0.85</v>
      </c>
      <c r="W22" s="8">
        <f t="shared" si="94"/>
        <v>0.85</v>
      </c>
      <c r="X22" s="8">
        <f t="shared" si="94"/>
        <v>0.85</v>
      </c>
      <c r="Y22" s="8">
        <f t="shared" si="94"/>
        <v>0.85</v>
      </c>
      <c r="Z22" s="8">
        <f t="shared" si="94"/>
        <v>0.84999999999999987</v>
      </c>
      <c r="AA22" s="8">
        <f t="shared" si="94"/>
        <v>0.85</v>
      </c>
      <c r="AB22" s="8">
        <f t="shared" si="94"/>
        <v>0.85</v>
      </c>
      <c r="AC22" s="8">
        <f t="shared" si="94"/>
        <v>0.85</v>
      </c>
      <c r="AD22" s="8">
        <f t="shared" si="94"/>
        <v>0.85</v>
      </c>
      <c r="AE22" s="8">
        <f t="shared" si="94"/>
        <v>0.85</v>
      </c>
      <c r="AF22" s="8">
        <f t="shared" si="94"/>
        <v>0.85</v>
      </c>
    </row>
    <row r="24" spans="2:77" s="2" customFormat="1" x14ac:dyDescent="0.2">
      <c r="B24" s="2" t="s">
        <v>3</v>
      </c>
      <c r="C24" s="5"/>
      <c r="D24" s="5"/>
      <c r="E24" s="5"/>
      <c r="F24" s="5"/>
      <c r="G24" s="5">
        <f>344.487+806.122</f>
        <v>1150.6089999999999</v>
      </c>
      <c r="H24" s="5">
        <f>356.22+804.646</f>
        <v>1160.866</v>
      </c>
      <c r="I24" s="5">
        <f>488.121+699.506</f>
        <v>1187.627</v>
      </c>
      <c r="J24" s="5">
        <f>488.121+699.506</f>
        <v>1187.627</v>
      </c>
      <c r="K24" s="5">
        <f>468.017+739.309</f>
        <v>1207.326</v>
      </c>
      <c r="L24" s="5">
        <f>310.266+708.848</f>
        <v>1019.114</v>
      </c>
      <c r="M24" s="5">
        <f>+L24+M17</f>
        <v>997.37045000000001</v>
      </c>
      <c r="N24" s="5">
        <f>+M24+N17</f>
        <v>980.34288800000002</v>
      </c>
      <c r="U24" s="2">
        <f>+N24</f>
        <v>980.34288800000002</v>
      </c>
      <c r="V24" s="2">
        <f t="shared" ref="V24:AF24" si="96">+U24+V17</f>
        <v>963.99554451199992</v>
      </c>
      <c r="W24" s="2">
        <f t="shared" si="96"/>
        <v>999.80089462028775</v>
      </c>
      <c r="X24" s="2">
        <f t="shared" si="96"/>
        <v>1069.1594928871743</v>
      </c>
      <c r="Y24" s="2">
        <f t="shared" si="96"/>
        <v>1201.1805493508662</v>
      </c>
      <c r="Z24" s="2">
        <f t="shared" si="96"/>
        <v>1410.3203165027464</v>
      </c>
      <c r="AA24" s="2">
        <f t="shared" si="96"/>
        <v>1713.6242845494305</v>
      </c>
      <c r="AB24" s="2">
        <f t="shared" si="96"/>
        <v>2069.8680224582881</v>
      </c>
      <c r="AC24" s="2">
        <f t="shared" si="96"/>
        <v>2517.8293480173984</v>
      </c>
      <c r="AD24" s="2">
        <f t="shared" si="96"/>
        <v>3070.6090602460349</v>
      </c>
      <c r="AE24" s="2">
        <f t="shared" si="96"/>
        <v>3742.8414751875816</v>
      </c>
      <c r="AF24" s="2">
        <f t="shared" si="96"/>
        <v>4550.8595971106806</v>
      </c>
    </row>
    <row r="25" spans="2:77" s="2" customFormat="1" x14ac:dyDescent="0.2">
      <c r="B25" s="2" t="s">
        <v>37</v>
      </c>
      <c r="C25" s="5"/>
      <c r="D25" s="5"/>
      <c r="E25" s="5"/>
      <c r="F25" s="5"/>
      <c r="G25" s="5">
        <v>72.807000000000002</v>
      </c>
      <c r="H25" s="5">
        <v>73.909000000000006</v>
      </c>
      <c r="I25" s="5">
        <v>97.179000000000002</v>
      </c>
      <c r="J25" s="5">
        <v>97.179000000000002</v>
      </c>
      <c r="K25" s="5">
        <v>84.323999999999998</v>
      </c>
      <c r="L25" s="5">
        <v>100.866</v>
      </c>
      <c r="M25" s="5"/>
      <c r="N25" s="5"/>
    </row>
    <row r="26" spans="2:77" s="2" customFormat="1" x14ac:dyDescent="0.2">
      <c r="B26" s="2" t="s">
        <v>38</v>
      </c>
      <c r="C26" s="5"/>
      <c r="D26" s="5"/>
      <c r="E26" s="5"/>
      <c r="F26" s="5"/>
      <c r="G26" s="5">
        <v>20.760999999999999</v>
      </c>
      <c r="H26" s="5">
        <v>21.693999999999999</v>
      </c>
      <c r="I26" s="5">
        <v>22.908000000000001</v>
      </c>
      <c r="J26" s="5">
        <v>22.908000000000001</v>
      </c>
      <c r="K26" s="5">
        <v>23.297000000000001</v>
      </c>
      <c r="L26" s="5">
        <v>24.527999999999999</v>
      </c>
      <c r="M26" s="5"/>
      <c r="N26" s="5"/>
    </row>
    <row r="27" spans="2:77" s="2" customFormat="1" x14ac:dyDescent="0.2">
      <c r="B27" s="2" t="s">
        <v>39</v>
      </c>
      <c r="C27" s="5"/>
      <c r="D27" s="5"/>
      <c r="E27" s="5"/>
      <c r="F27" s="5"/>
      <c r="G27" s="5">
        <v>46.487000000000002</v>
      </c>
      <c r="H27" s="5">
        <v>46.826999999999998</v>
      </c>
      <c r="I27" s="5">
        <v>47.832000000000001</v>
      </c>
      <c r="J27" s="5">
        <v>47.832000000000001</v>
      </c>
      <c r="K27" s="5">
        <v>52.161999999999999</v>
      </c>
      <c r="L27" s="5">
        <v>52.481999999999999</v>
      </c>
      <c r="M27" s="5"/>
      <c r="N27" s="5"/>
      <c r="AC27" s="1" t="s">
        <v>64</v>
      </c>
      <c r="AD27" s="11">
        <v>-0.01</v>
      </c>
    </row>
    <row r="28" spans="2:77" s="2" customFormat="1" x14ac:dyDescent="0.2">
      <c r="B28" s="2" t="s">
        <v>40</v>
      </c>
      <c r="C28" s="5"/>
      <c r="D28" s="5"/>
      <c r="E28" s="5"/>
      <c r="F28" s="5"/>
      <c r="G28" s="5">
        <v>24.213999999999999</v>
      </c>
      <c r="H28" s="5">
        <v>23.471</v>
      </c>
      <c r="I28" s="5">
        <v>22.747</v>
      </c>
      <c r="J28" s="5">
        <v>22.747</v>
      </c>
      <c r="K28" s="5">
        <v>22.306999999999999</v>
      </c>
      <c r="L28" s="5">
        <v>23.445</v>
      </c>
      <c r="M28" s="5"/>
      <c r="N28" s="5"/>
      <c r="AC28" s="1" t="s">
        <v>65</v>
      </c>
      <c r="AD28" s="11">
        <v>0.11</v>
      </c>
    </row>
    <row r="29" spans="2:77" s="2" customFormat="1" x14ac:dyDescent="0.2">
      <c r="B29" s="2" t="s">
        <v>41</v>
      </c>
      <c r="C29" s="5"/>
      <c r="D29" s="5"/>
      <c r="E29" s="5"/>
      <c r="F29" s="5"/>
      <c r="G29" s="5">
        <v>31.175000000000001</v>
      </c>
      <c r="H29" s="5">
        <v>29.297000000000001</v>
      </c>
      <c r="I29" s="5">
        <v>32.749000000000002</v>
      </c>
      <c r="J29" s="5">
        <v>32.749000000000002</v>
      </c>
      <c r="K29" s="5">
        <v>30.5</v>
      </c>
      <c r="L29" s="5">
        <v>32.698</v>
      </c>
      <c r="M29" s="5"/>
      <c r="N29" s="5"/>
      <c r="AC29" s="1" t="s">
        <v>66</v>
      </c>
      <c r="AD29" s="11">
        <v>0.03</v>
      </c>
    </row>
    <row r="30" spans="2:77" s="2" customFormat="1" x14ac:dyDescent="0.2">
      <c r="B30" s="2" t="s">
        <v>38</v>
      </c>
      <c r="C30" s="5"/>
      <c r="D30" s="5"/>
      <c r="E30" s="5"/>
      <c r="F30" s="5"/>
      <c r="G30" s="5">
        <v>18.864999999999998</v>
      </c>
      <c r="H30" s="5">
        <v>19.268000000000001</v>
      </c>
      <c r="I30" s="5">
        <v>19.763999999999999</v>
      </c>
      <c r="J30" s="5">
        <v>19.763999999999999</v>
      </c>
      <c r="K30" s="5">
        <v>17.795000000000002</v>
      </c>
      <c r="L30" s="5">
        <v>21.507999999999999</v>
      </c>
      <c r="M30" s="5"/>
      <c r="N30" s="5"/>
      <c r="AC30" s="1" t="s">
        <v>67</v>
      </c>
      <c r="AD30" s="2">
        <f>NPV(AD28,V17:BY17)+Main!H5</f>
        <v>4635.359768918921</v>
      </c>
    </row>
    <row r="31" spans="2:77" s="2" customFormat="1" x14ac:dyDescent="0.2">
      <c r="B31" s="2" t="s">
        <v>42</v>
      </c>
      <c r="C31" s="5"/>
      <c r="D31" s="5"/>
      <c r="E31" s="5"/>
      <c r="F31" s="5"/>
      <c r="G31" s="5">
        <v>6.181</v>
      </c>
      <c r="H31" s="5">
        <v>6.181</v>
      </c>
      <c r="I31" s="5">
        <v>6.181</v>
      </c>
      <c r="J31" s="5">
        <v>6.181</v>
      </c>
      <c r="K31" s="5">
        <v>6.181</v>
      </c>
      <c r="L31" s="5">
        <f>98.024+147.014</f>
        <v>245.03800000000001</v>
      </c>
      <c r="M31" s="5"/>
      <c r="N31" s="5"/>
      <c r="AC31" s="2" t="s">
        <v>68</v>
      </c>
      <c r="AD31" s="4">
        <f>+AD30/Main!H3</f>
        <v>15.344259764090406</v>
      </c>
    </row>
    <row r="32" spans="2:77" s="2" customFormat="1" x14ac:dyDescent="0.2">
      <c r="B32" s="2" t="s">
        <v>43</v>
      </c>
      <c r="C32" s="5"/>
      <c r="D32" s="5"/>
      <c r="E32" s="5"/>
      <c r="F32" s="5"/>
      <c r="G32" s="5">
        <v>8.6449999999999996</v>
      </c>
      <c r="H32" s="5">
        <v>8.6709999999999994</v>
      </c>
      <c r="I32" s="5">
        <v>10.013</v>
      </c>
      <c r="J32" s="5">
        <v>10.013</v>
      </c>
      <c r="K32" s="5">
        <v>9.5079999999999991</v>
      </c>
      <c r="L32" s="5">
        <v>9.5150000000000006</v>
      </c>
      <c r="M32" s="5"/>
      <c r="N32" s="5"/>
      <c r="AC32" s="13" t="s">
        <v>69</v>
      </c>
      <c r="AD32" s="11">
        <f>AD31/Main!H2-1</f>
        <v>0.3615137323948896</v>
      </c>
    </row>
    <row r="33" spans="2:14" s="2" customFormat="1" x14ac:dyDescent="0.2">
      <c r="B33" s="2" t="s">
        <v>44</v>
      </c>
      <c r="C33" s="5"/>
      <c r="D33" s="5"/>
      <c r="E33" s="5"/>
      <c r="F33" s="5"/>
      <c r="G33" s="5">
        <v>11.098000000000001</v>
      </c>
      <c r="H33" s="5">
        <v>10.122999999999999</v>
      </c>
      <c r="I33" s="5">
        <v>9.7720000000000002</v>
      </c>
      <c r="J33" s="5">
        <v>9.7720000000000002</v>
      </c>
      <c r="K33" s="5">
        <v>12.045999999999999</v>
      </c>
      <c r="L33" s="5">
        <v>14.39</v>
      </c>
      <c r="M33" s="5"/>
      <c r="N33" s="5"/>
    </row>
    <row r="34" spans="2:14" s="2" customFormat="1" x14ac:dyDescent="0.2">
      <c r="B34" s="2" t="s">
        <v>36</v>
      </c>
      <c r="C34" s="5"/>
      <c r="D34" s="5"/>
      <c r="E34" s="5"/>
      <c r="F34" s="5"/>
      <c r="G34" s="5">
        <f t="shared" ref="G34:L34" si="97">SUM(G24:G33)</f>
        <v>1390.8419999999999</v>
      </c>
      <c r="H34" s="5">
        <f t="shared" si="97"/>
        <v>1400.3070000000002</v>
      </c>
      <c r="I34" s="5">
        <f t="shared" si="97"/>
        <v>1456.7719999999999</v>
      </c>
      <c r="J34" s="5">
        <f t="shared" si="97"/>
        <v>1456.7719999999999</v>
      </c>
      <c r="K34" s="5">
        <f t="shared" si="97"/>
        <v>1465.4460000000004</v>
      </c>
      <c r="L34" s="5">
        <f t="shared" si="97"/>
        <v>1543.5840000000003</v>
      </c>
      <c r="M34" s="5"/>
      <c r="N34" s="5"/>
    </row>
    <row r="36" spans="2:14" x14ac:dyDescent="0.2">
      <c r="B36" s="1" t="s">
        <v>45</v>
      </c>
      <c r="G36" s="5">
        <v>4.415</v>
      </c>
      <c r="H36" s="5">
        <v>1.6859999999999999</v>
      </c>
      <c r="I36" s="5">
        <v>3.4849999999999999</v>
      </c>
      <c r="J36" s="5">
        <v>3.4849999999999999</v>
      </c>
      <c r="K36" s="5">
        <v>1.5169999999999999</v>
      </c>
      <c r="L36" s="5">
        <v>9.7710000000000008</v>
      </c>
    </row>
    <row r="37" spans="2:14" x14ac:dyDescent="0.2">
      <c r="B37" s="1" t="s">
        <v>46</v>
      </c>
      <c r="G37" s="5">
        <v>58.326999999999998</v>
      </c>
      <c r="H37" s="5">
        <v>53.761000000000003</v>
      </c>
      <c r="I37" s="5">
        <v>56.607999999999997</v>
      </c>
      <c r="J37" s="5">
        <v>56.607999999999997</v>
      </c>
      <c r="K37" s="5">
        <v>58.164000000000001</v>
      </c>
      <c r="L37" s="5">
        <v>69.245999999999995</v>
      </c>
    </row>
    <row r="38" spans="2:14" x14ac:dyDescent="0.2">
      <c r="B38" s="1" t="s">
        <v>47</v>
      </c>
      <c r="G38" s="5">
        <v>220.55</v>
      </c>
      <c r="H38" s="5">
        <v>234.358</v>
      </c>
      <c r="I38" s="5">
        <v>266.399</v>
      </c>
      <c r="J38" s="5">
        <v>266.399</v>
      </c>
      <c r="K38" s="5">
        <v>275.90699999999998</v>
      </c>
      <c r="L38" s="5">
        <v>287.62900000000002</v>
      </c>
    </row>
    <row r="39" spans="2:14" x14ac:dyDescent="0.2">
      <c r="B39" s="1" t="s">
        <v>31</v>
      </c>
      <c r="G39" s="5">
        <v>2.177</v>
      </c>
      <c r="H39" s="5">
        <v>1.7509999999999999</v>
      </c>
      <c r="I39" s="5">
        <v>0.72199999999999998</v>
      </c>
      <c r="J39" s="5">
        <v>0.72199999999999998</v>
      </c>
      <c r="K39" s="5">
        <v>0.71599999999999997</v>
      </c>
      <c r="L39" s="5">
        <v>1.038</v>
      </c>
    </row>
    <row r="40" spans="2:14" x14ac:dyDescent="0.2">
      <c r="B40" s="1" t="s">
        <v>48</v>
      </c>
      <c r="G40" s="5">
        <v>26.183</v>
      </c>
      <c r="H40" s="5">
        <v>24.251000000000001</v>
      </c>
      <c r="I40" s="5">
        <v>26.795000000000002</v>
      </c>
      <c r="J40" s="5">
        <v>26.795000000000002</v>
      </c>
      <c r="K40" s="5">
        <v>24.594999999999999</v>
      </c>
      <c r="L40" s="5">
        <v>27.681000000000001</v>
      </c>
    </row>
    <row r="41" spans="2:14" x14ac:dyDescent="0.2">
      <c r="B41" s="1" t="s">
        <v>49</v>
      </c>
      <c r="G41" s="5">
        <v>28.748000000000001</v>
      </c>
      <c r="H41" s="5">
        <v>26.847000000000001</v>
      </c>
      <c r="I41" s="5">
        <v>30.501000000000001</v>
      </c>
      <c r="J41" s="5">
        <v>30.501000000000001</v>
      </c>
      <c r="K41" s="5">
        <v>28.416</v>
      </c>
      <c r="L41" s="5">
        <v>33.119999999999997</v>
      </c>
    </row>
    <row r="42" spans="2:14" x14ac:dyDescent="0.2">
      <c r="B42" s="1" t="s">
        <v>50</v>
      </c>
      <c r="G42" s="5">
        <v>1050.442</v>
      </c>
      <c r="H42" s="5">
        <v>1057.653</v>
      </c>
      <c r="I42" s="5">
        <v>1072.2619999999999</v>
      </c>
      <c r="J42" s="5">
        <v>1072.2619999999999</v>
      </c>
      <c r="K42" s="5">
        <v>1078.1310000000001</v>
      </c>
      <c r="L42" s="5">
        <v>1115.0989999999999</v>
      </c>
    </row>
    <row r="43" spans="2:14" x14ac:dyDescent="0.2">
      <c r="B43" s="1" t="s">
        <v>51</v>
      </c>
      <c r="G43" s="5">
        <f t="shared" ref="G43:L43" si="98">SUM(G36:G42)</f>
        <v>1390.8420000000001</v>
      </c>
      <c r="H43" s="5">
        <f t="shared" si="98"/>
        <v>1400.307</v>
      </c>
      <c r="I43" s="5">
        <f t="shared" si="98"/>
        <v>1456.7719999999999</v>
      </c>
      <c r="J43" s="5">
        <f t="shared" si="98"/>
        <v>1456.7719999999999</v>
      </c>
      <c r="K43" s="5">
        <f t="shared" si="98"/>
        <v>1467.4460000000001</v>
      </c>
      <c r="L43" s="5">
        <f t="shared" si="98"/>
        <v>1543.5839999999998</v>
      </c>
    </row>
    <row r="45" spans="2:14" x14ac:dyDescent="0.2">
      <c r="B45" s="1" t="s">
        <v>52</v>
      </c>
      <c r="F45" s="5">
        <f t="shared" ref="F45:L45" si="99">+F17</f>
        <v>-55.477000000000004</v>
      </c>
      <c r="G45" s="5">
        <f t="shared" si="99"/>
        <v>-42.663999999999987</v>
      </c>
      <c r="H45" s="5">
        <f t="shared" si="99"/>
        <v>-35.658000000000001</v>
      </c>
      <c r="I45" s="5">
        <f t="shared" si="99"/>
        <v>-31.032999999999983</v>
      </c>
      <c r="J45" s="5">
        <f t="shared" si="99"/>
        <v>-28.080999999999996</v>
      </c>
      <c r="K45" s="5">
        <f t="shared" si="99"/>
        <v>-23.324999999999999</v>
      </c>
      <c r="L45" s="5">
        <f t="shared" si="99"/>
        <v>-20.184000000000033</v>
      </c>
    </row>
    <row r="46" spans="2:14" x14ac:dyDescent="0.2">
      <c r="B46" s="1" t="s">
        <v>53</v>
      </c>
      <c r="F46" s="5">
        <v>-55.476999999999997</v>
      </c>
      <c r="G46" s="5">
        <v>-42.664000000000001</v>
      </c>
      <c r="H46" s="5">
        <f>-78.322-G46</f>
        <v>-35.658000000000001</v>
      </c>
      <c r="I46" s="5">
        <f>-109.355-H46-G46</f>
        <v>-31.033000000000001</v>
      </c>
      <c r="J46" s="5">
        <v>-28.081</v>
      </c>
      <c r="K46" s="5">
        <v>-23.324999999999999</v>
      </c>
      <c r="L46" s="5">
        <f>-43.509-K46</f>
        <v>-20.184000000000001</v>
      </c>
    </row>
    <row r="47" spans="2:14" x14ac:dyDescent="0.2">
      <c r="B47" s="1" t="s">
        <v>55</v>
      </c>
      <c r="F47" s="5">
        <v>2.93</v>
      </c>
      <c r="G47" s="5">
        <v>3.1120000000000001</v>
      </c>
      <c r="H47" s="5">
        <f>6.114-G47</f>
        <v>3.0019999999999998</v>
      </c>
      <c r="I47" s="5">
        <f>9.098-H47-G47</f>
        <v>2.9840000000000009</v>
      </c>
      <c r="J47" s="5">
        <v>3.0459999999999998</v>
      </c>
      <c r="K47" s="5">
        <v>2.9670000000000001</v>
      </c>
      <c r="L47" s="5">
        <f>6.713-K47</f>
        <v>3.746</v>
      </c>
    </row>
    <row r="48" spans="2:14" x14ac:dyDescent="0.2">
      <c r="B48" s="1" t="s">
        <v>58</v>
      </c>
      <c r="F48" s="5">
        <v>5.2110000000000003</v>
      </c>
      <c r="G48" s="5">
        <v>5.617</v>
      </c>
      <c r="H48" s="5">
        <f>11.469-G48</f>
        <v>5.8519999999999994</v>
      </c>
      <c r="I48" s="5">
        <f>17.6-H48-G48</f>
        <v>6.1310000000000011</v>
      </c>
      <c r="J48" s="5">
        <v>6.3650000000000002</v>
      </c>
      <c r="K48" s="5">
        <v>6.6520000000000001</v>
      </c>
      <c r="L48" s="5">
        <f>13.538-K48</f>
        <v>6.8860000000000001</v>
      </c>
    </row>
    <row r="49" spans="2:12" x14ac:dyDescent="0.2">
      <c r="B49" s="1" t="s">
        <v>41</v>
      </c>
      <c r="F49" s="5">
        <v>1.732</v>
      </c>
      <c r="G49" s="5">
        <v>1.85</v>
      </c>
      <c r="H49" s="5">
        <f>3.727-G49</f>
        <v>1.8769999999999998</v>
      </c>
      <c r="I49" s="5">
        <f>5.692-H49-G49</f>
        <v>1.9650000000000003</v>
      </c>
      <c r="J49" s="5">
        <v>2.044</v>
      </c>
      <c r="K49" s="5">
        <v>1.98</v>
      </c>
      <c r="L49" s="5">
        <f>4.399-K49</f>
        <v>2.419</v>
      </c>
    </row>
    <row r="50" spans="2:12" x14ac:dyDescent="0.2">
      <c r="B50" s="1" t="s">
        <v>56</v>
      </c>
      <c r="F50" s="5">
        <v>57.043999999999997</v>
      </c>
      <c r="G50" s="5">
        <v>50.694000000000003</v>
      </c>
      <c r="H50" s="5">
        <f>104.942-G50</f>
        <v>54.24799999999999</v>
      </c>
      <c r="I50" s="5">
        <f>160.067-H50-G50</f>
        <v>55.125000000000014</v>
      </c>
      <c r="J50" s="5">
        <v>50.64</v>
      </c>
      <c r="K50" s="5">
        <v>52.442</v>
      </c>
      <c r="L50" s="5">
        <f>107.581-K50</f>
        <v>55.139000000000003</v>
      </c>
    </row>
    <row r="51" spans="2:12" x14ac:dyDescent="0.2">
      <c r="B51" s="1" t="s">
        <v>57</v>
      </c>
      <c r="F51" s="5">
        <f>-2.191+0.004</f>
        <v>-2.1869999999999998</v>
      </c>
      <c r="G51" s="5">
        <v>-3.52</v>
      </c>
      <c r="H51" s="5">
        <f>-7.822-G51</f>
        <v>-4.3019999999999996</v>
      </c>
      <c r="I51" s="5">
        <f>-12.108-H51-G51+0.065</f>
        <v>-4.221000000000001</v>
      </c>
      <c r="J51" s="5">
        <v>-3.544</v>
      </c>
      <c r="K51" s="5">
        <v>-4.6230000000000002</v>
      </c>
      <c r="L51" s="5">
        <f>-8.721-K51</f>
        <v>-4.0979999999999999</v>
      </c>
    </row>
    <row r="52" spans="2:12" x14ac:dyDescent="0.2">
      <c r="B52" s="1" t="s">
        <v>59</v>
      </c>
      <c r="F52" s="5">
        <v>-2.714</v>
      </c>
      <c r="G52" s="5">
        <v>0.113</v>
      </c>
      <c r="H52" s="5">
        <f>0.113-G52</f>
        <v>0</v>
      </c>
      <c r="I52" s="5">
        <f>0.113-H52-G52-F52</f>
        <v>2.714</v>
      </c>
      <c r="J52" s="5">
        <v>-1.4350000000000001</v>
      </c>
      <c r="K52" s="5">
        <v>0.47699999999999998</v>
      </c>
      <c r="L52" s="5">
        <f>-13.801-K52</f>
        <v>-14.278</v>
      </c>
    </row>
    <row r="53" spans="2:12" x14ac:dyDescent="0.2">
      <c r="B53" s="1" t="s">
        <v>44</v>
      </c>
      <c r="F53" s="5">
        <v>-0.58099999999999996</v>
      </c>
      <c r="G53" s="5">
        <v>7.0000000000000007E-2</v>
      </c>
      <c r="H53" s="5">
        <f>-0.009-G53</f>
        <v>-7.9000000000000001E-2</v>
      </c>
      <c r="I53" s="5">
        <f>0.175-H53-G53-F53</f>
        <v>0.7649999999999999</v>
      </c>
      <c r="J53" s="5">
        <v>3.4000000000000002E-2</v>
      </c>
      <c r="K53" s="5">
        <v>-8.5999999999999993E-2</v>
      </c>
      <c r="L53" s="5">
        <f>-0.231-K53</f>
        <v>-0.14500000000000002</v>
      </c>
    </row>
    <row r="54" spans="2:12" x14ac:dyDescent="0.2">
      <c r="B54" s="1" t="s">
        <v>60</v>
      </c>
      <c r="F54" s="5">
        <f>-13.636-9.006+4.233+2.039+3.872+14.657-0.95</f>
        <v>1.2090000000000025</v>
      </c>
      <c r="G54" s="5">
        <f>-2.49-5.568-7.248-1.494-0.392+14.924-1.5</f>
        <v>-3.7680000000000007</v>
      </c>
      <c r="H54" s="5">
        <f>-3.599-12.756-6.571-4.221-5.481+28.732-4.917-G54</f>
        <v>-5.0449999999999999</v>
      </c>
      <c r="I54" s="5">
        <f>-10.003-19.147-11.793-3.219-3.15+40.459-9.052-H54-G54-F54</f>
        <v>-8.3009999999999966</v>
      </c>
      <c r="J54" s="5">
        <f>-16.979-7.815+4.382+0.796+4.989+20.314-3.865</f>
        <v>1.822000000000001</v>
      </c>
      <c r="K54" s="5">
        <f>12.85-7.072-6.609-1.968+0.245+9.508-2.819</f>
        <v>4.1349999999999989</v>
      </c>
      <c r="L54" s="5">
        <f>4.948-16.902-7.176+5.981+8.873+17.219-1.957-K54</f>
        <v>6.8509999999999982</v>
      </c>
    </row>
    <row r="55" spans="2:12" x14ac:dyDescent="0.2">
      <c r="B55" s="1" t="s">
        <v>54</v>
      </c>
      <c r="F55" s="5">
        <f t="shared" ref="F55:L55" si="100">SUM(F46:F54)</f>
        <v>7.1670000000000007</v>
      </c>
      <c r="G55" s="5">
        <f t="shared" si="100"/>
        <v>11.504000000000001</v>
      </c>
      <c r="H55" s="5">
        <f t="shared" si="100"/>
        <v>19.894999999999989</v>
      </c>
      <c r="I55" s="5">
        <f t="shared" si="100"/>
        <v>26.129000000000019</v>
      </c>
      <c r="J55" s="5">
        <f t="shared" si="100"/>
        <v>30.890999999999998</v>
      </c>
      <c r="K55" s="5">
        <f t="shared" si="100"/>
        <v>40.619</v>
      </c>
      <c r="L55" s="5">
        <f t="shared" si="100"/>
        <v>36.335999999999999</v>
      </c>
    </row>
  </sheetData>
  <hyperlinks>
    <hyperlink ref="A1" location="Main!A1" display="Main" xr:uid="{238333E5-DAF6-EB43-B069-F1EF00A7D765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2024-09-17T23:35:32Z</dcterms:created>
  <dcterms:modified xsi:type="dcterms:W3CDTF">2025-10-13T09:14:27Z</dcterms:modified>
</cp:coreProperties>
</file>