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92ED008-A88B-40D8-B28F-6D4E0874FD25}" xr6:coauthVersionLast="47" xr6:coauthVersionMax="47" xr10:uidLastSave="{00000000-0000-0000-0000-000000000000}"/>
  <bookViews>
    <workbookView xWindow="4755" yWindow="4755" windowWidth="18075" windowHeight="16020" activeTab="1" xr2:uid="{CA47DE98-0DE7-4C0A-8AFF-3843B16652F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I15" i="2"/>
  <c r="I14" i="2"/>
  <c r="M14" i="2"/>
  <c r="M37" i="2"/>
  <c r="M22" i="2"/>
  <c r="N7" i="1"/>
  <c r="N4" i="1"/>
  <c r="R37" i="2"/>
  <c r="Q37" i="2"/>
  <c r="Q11" i="2"/>
  <c r="Q36" i="2" s="1"/>
  <c r="P11" i="2"/>
  <c r="P22" i="2" s="1"/>
  <c r="Q22" i="2"/>
  <c r="R11" i="2"/>
  <c r="R22" i="2"/>
  <c r="R36" i="2"/>
  <c r="G20" i="2"/>
  <c r="J19" i="2"/>
  <c r="J18" i="2"/>
  <c r="J17" i="2"/>
  <c r="J16" i="2"/>
  <c r="J14" i="2"/>
  <c r="J15" i="2" s="1"/>
  <c r="J20" i="2" s="1"/>
  <c r="J10" i="2"/>
  <c r="J9" i="2"/>
  <c r="J31" i="2"/>
  <c r="J25" i="2"/>
  <c r="J34" i="2" s="1"/>
  <c r="G19" i="2"/>
  <c r="G11" i="2"/>
  <c r="G15" i="2" s="1"/>
  <c r="K19" i="2"/>
  <c r="K11" i="2"/>
  <c r="K15" i="2" s="1"/>
  <c r="H19" i="2"/>
  <c r="H11" i="2"/>
  <c r="H15" i="2" s="1"/>
  <c r="L19" i="2"/>
  <c r="L11" i="2"/>
  <c r="L15" i="2" s="1"/>
  <c r="M31" i="2"/>
  <c r="M25" i="2"/>
  <c r="I19" i="2"/>
  <c r="M19" i="2"/>
  <c r="I11" i="2"/>
  <c r="M11" i="2"/>
  <c r="J37" i="2" l="1"/>
  <c r="M34" i="2"/>
  <c r="J11" i="2"/>
  <c r="M20" i="2"/>
  <c r="I20" i="2"/>
  <c r="K20" i="2"/>
  <c r="H20" i="2"/>
  <c r="L20" i="2"/>
</calcChain>
</file>

<file path=xl/sharedStrings.xml><?xml version="1.0" encoding="utf-8"?>
<sst xmlns="http://schemas.openxmlformats.org/spreadsheetml/2006/main" count="52" uniqueCount="48">
  <si>
    <t>Price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</si>
  <si>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</si>
  <si>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</si>
  <si>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</si>
  <si>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</si>
  <si>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</si>
  <si>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</si>
  <si>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</si>
  <si>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</si>
  <si>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</si>
  <si>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</si>
  <si>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</si>
  <si>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</si>
  <si>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</si>
  <si>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Product</t>
  </si>
  <si>
    <t>Services</t>
  </si>
  <si>
    <t>Operating Expenses</t>
  </si>
  <si>
    <t>Operating Income</t>
  </si>
  <si>
    <t>R&amp;D</t>
  </si>
  <si>
    <t>G&amp;A</t>
  </si>
  <si>
    <t>S&amp;M</t>
  </si>
  <si>
    <t>Gross Profit</t>
  </si>
  <si>
    <t>COGS</t>
  </si>
  <si>
    <t>Assets</t>
  </si>
  <si>
    <t>Cash</t>
  </si>
  <si>
    <t>AR</t>
  </si>
  <si>
    <t>Inventories</t>
  </si>
  <si>
    <t>Prepayments</t>
  </si>
  <si>
    <t>Lease</t>
  </si>
  <si>
    <t>PPE</t>
  </si>
  <si>
    <t>Goodwill</t>
  </si>
  <si>
    <t>DTA</t>
  </si>
  <si>
    <t>ONCA</t>
  </si>
  <si>
    <t>12 mo GMV</t>
  </si>
  <si>
    <t>3P seller GMV</t>
  </si>
  <si>
    <t>1P</t>
  </si>
  <si>
    <t>Off-platform ecommerce</t>
  </si>
  <si>
    <t>Sellers</t>
  </si>
  <si>
    <t>Product COGS</t>
  </si>
  <si>
    <t>Services COGS</t>
  </si>
  <si>
    <t>DSO</t>
  </si>
  <si>
    <t>Inventory Turns</t>
  </si>
  <si>
    <t>Product GM</t>
  </si>
  <si>
    <t>CFFO</t>
  </si>
  <si>
    <t>Shares</t>
  </si>
  <si>
    <t>MC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</si>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</sst>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165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28AC96D-D8AD-40FA-A3B0-99D3D75C9F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0</xdr:row>
      <xdr:rowOff>0</xdr:rowOff>
    </xdr:from>
    <xdr:to>
      <xdr:col>13</xdr:col>
      <xdr:colOff>35719</xdr:colOff>
      <xdr:row>43</xdr:row>
      <xdr:rowOff>130969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0C2FD57-BF7B-DFA4-820C-AFEC93172409}"/>
            </a:ext>
          </a:extLst>
        </xdr:cNvPr>
        <xdr:cNvCxnSpPr/>
      </xdr:nvCxnSpPr>
      <xdr:spPr>
        <a:xfrm>
          <a:off x="8286750" y="0"/>
          <a:ext cx="0" cy="57566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3967-62CD-44C2-BD4C-5477C1DC8409}">
  <dimension ref="M2:O7"/>
  <sheetViews>
    <sheetView zoomScaleNormal="100" workbookViewId="0">
      <selection activeCell="O3" sqref="O3"/>
    </sheetView>
  </sheetViews>
  <sheetFormatPr defaultRowHeight="12.75" x14ac:dyDescent="0.2"/>
  <sheetData>
    <row r="2" spans="13:15" x14ac:dyDescent="0.2">
      <c r="M2" t="s">
        <v>0</v>
      </c>
      <c r="N2">
        <v>16.86</v>
      </c>
    </row>
    <row r="3" spans="13:15" x14ac:dyDescent="0.2">
      <c r="M3" t="s">
        <v>44</v>
      </c>
      <c r="N3" s="7">
        <v>40.92259</v>
      </c>
      <c r="O3" s="1" t="s">
        <v>9</v>
      </c>
    </row>
    <row r="4" spans="13:15" x14ac:dyDescent="0.2">
      <c r="M4" t="s">
        <v>45</v>
      </c>
      <c r="N4" s="7">
        <f>+N2*N3</f>
        <v>689.95486740000001</v>
      </c>
      <c r="O4" s="1"/>
    </row>
    <row r="5" spans="13:15" x14ac:dyDescent="0.2">
      <c r="M5" t="s">
        <v>24</v>
      </c>
      <c r="N5" s="7">
        <v>183.28299999999999</v>
      </c>
      <c r="O5" s="1" t="s">
        <v>9</v>
      </c>
    </row>
    <row r="6" spans="13:15" x14ac:dyDescent="0.2">
      <c r="M6" t="s">
        <v>46</v>
      </c>
      <c r="N6" s="7">
        <v>0</v>
      </c>
      <c r="O6" s="1" t="s">
        <v>9</v>
      </c>
    </row>
    <row r="7" spans="13:15" x14ac:dyDescent="0.2">
      <c r="M7" t="s">
        <v>47</v>
      </c>
      <c r="N7" s="7">
        <f>+N4-N5+N6</f>
        <v>506.6718674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CF06-0BBF-4414-AD9A-A62F11C2C77A}">
  <dimension ref="B2:R40"/>
  <sheetViews>
    <sheetView tabSelected="1" zoomScaleNormal="100" workbookViewId="0">
      <pane xSplit="2" ySplit="2" topLeftCell="I6" activePane="bottomRight" state="frozen"/>
      <selection pane="topRight" activeCell="C1" sqref="C1"/>
      <selection pane="bottomLeft" activeCell="A3" sqref="A3"/>
      <selection pane="bottomRight" activeCell="R40" sqref="R40"/>
    </sheetView>
  </sheetViews>
  <sheetFormatPr defaultRowHeight="12.75" x14ac:dyDescent="0.2"/>
  <cols>
    <col min="1" max="1" width="5.42578125" customWidth="1"/>
    <col min="2" max="2" width="21" bestFit="1" customWidth="1"/>
    <col min="3" max="12" width="9.140625" style="1"/>
  </cols>
  <sheetData>
    <row r="2" spans="2:18" x14ac:dyDescent="0.2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P2">
        <v>2021</v>
      </c>
      <c r="Q2">
        <v>2022</v>
      </c>
      <c r="R2">
        <v>2023</v>
      </c>
    </row>
    <row r="3" spans="2:18" s="2" customFormat="1" x14ac:dyDescent="0.2">
      <c r="B3" s="2" t="s">
        <v>33</v>
      </c>
      <c r="C3" s="3">
        <v>438.12599999999998</v>
      </c>
      <c r="D3" s="3">
        <v>458.83800000000002</v>
      </c>
      <c r="E3" s="3">
        <v>486.27300000000002</v>
      </c>
      <c r="F3" s="3">
        <v>518.21799999999996</v>
      </c>
      <c r="G3" s="3">
        <v>553.50099999999998</v>
      </c>
      <c r="H3" s="3">
        <v>607.524</v>
      </c>
      <c r="I3" s="3">
        <v>684.745</v>
      </c>
      <c r="J3" s="3">
        <v>794.43299999999999</v>
      </c>
      <c r="K3" s="3">
        <v>907.66</v>
      </c>
      <c r="L3" s="3"/>
      <c r="M3" s="3"/>
      <c r="N3" s="3"/>
      <c r="P3" s="2">
        <v>414.19200000000001</v>
      </c>
      <c r="Q3" s="2">
        <v>518.21799999999996</v>
      </c>
      <c r="R3" s="2">
        <v>794.43299999999999</v>
      </c>
    </row>
    <row r="4" spans="2:18" s="2" customFormat="1" x14ac:dyDescent="0.2">
      <c r="B4" s="2" t="s">
        <v>34</v>
      </c>
      <c r="C4" s="3"/>
      <c r="D4" s="3"/>
      <c r="E4" s="3"/>
      <c r="F4" s="3"/>
      <c r="G4" s="3"/>
      <c r="H4" s="3"/>
      <c r="I4" s="3"/>
      <c r="J4" s="3"/>
      <c r="K4" s="3">
        <v>489.89699999999999</v>
      </c>
      <c r="L4" s="3"/>
      <c r="M4" s="3"/>
      <c r="N4" s="3"/>
      <c r="P4" s="2">
        <v>98.331999999999994</v>
      </c>
      <c r="Q4" s="2">
        <v>140.62799999999999</v>
      </c>
      <c r="R4" s="2">
        <v>199.184</v>
      </c>
    </row>
    <row r="5" spans="2:18" s="2" customFormat="1" x14ac:dyDescent="0.2">
      <c r="B5" s="2" t="s">
        <v>36</v>
      </c>
      <c r="C5" s="3"/>
      <c r="D5" s="3"/>
      <c r="E5" s="3"/>
      <c r="F5" s="3"/>
      <c r="G5" s="3"/>
      <c r="H5" s="3"/>
      <c r="I5" s="3"/>
      <c r="J5" s="3"/>
      <c r="K5" s="3">
        <v>93.346000000000004</v>
      </c>
      <c r="L5" s="3"/>
      <c r="M5" s="3"/>
      <c r="N5" s="3"/>
      <c r="P5" s="2">
        <v>127.599</v>
      </c>
      <c r="Q5" s="2">
        <v>117.761</v>
      </c>
      <c r="R5" s="2">
        <v>204.62200000000001</v>
      </c>
    </row>
    <row r="6" spans="2:18" s="2" customFormat="1" x14ac:dyDescent="0.2">
      <c r="B6" s="2" t="s">
        <v>35</v>
      </c>
      <c r="C6" s="3"/>
      <c r="D6" s="3"/>
      <c r="E6" s="3"/>
      <c r="F6" s="3"/>
      <c r="G6" s="3"/>
      <c r="H6" s="3"/>
      <c r="I6" s="3"/>
      <c r="J6" s="3"/>
      <c r="K6" s="3">
        <v>90.159000000000006</v>
      </c>
      <c r="L6" s="3"/>
      <c r="M6" s="3"/>
      <c r="N6" s="3"/>
      <c r="P6" s="2">
        <v>188.26599999999999</v>
      </c>
      <c r="Q6" s="2">
        <v>231.68199999999999</v>
      </c>
      <c r="R6" s="2">
        <v>299.93</v>
      </c>
    </row>
    <row r="7" spans="2:18" x14ac:dyDescent="0.2">
      <c r="B7" s="2" t="s">
        <v>37</v>
      </c>
      <c r="C7" s="1">
        <v>410</v>
      </c>
      <c r="D7" s="1">
        <v>452</v>
      </c>
      <c r="E7" s="1">
        <v>517</v>
      </c>
      <c r="F7" s="1">
        <v>560</v>
      </c>
      <c r="G7" s="1">
        <v>602</v>
      </c>
      <c r="H7" s="1">
        <v>665</v>
      </c>
      <c r="I7" s="1">
        <v>741</v>
      </c>
      <c r="J7" s="1">
        <v>815</v>
      </c>
      <c r="K7" s="3"/>
      <c r="M7" s="1"/>
      <c r="N7" s="1"/>
    </row>
    <row r="8" spans="2:18" x14ac:dyDescent="0.2">
      <c r="K8" s="3"/>
      <c r="M8" s="1"/>
      <c r="N8" s="1"/>
    </row>
    <row r="9" spans="2:18" s="2" customFormat="1" x14ac:dyDescent="0.2">
      <c r="B9" s="2" t="s">
        <v>15</v>
      </c>
      <c r="C9" s="3"/>
      <c r="D9" s="3"/>
      <c r="E9" s="3"/>
      <c r="F9" s="3"/>
      <c r="G9" s="2">
        <v>35.095999999999997</v>
      </c>
      <c r="H9" s="2">
        <v>43.277999999999999</v>
      </c>
      <c r="I9" s="2">
        <v>51.473999999999997</v>
      </c>
      <c r="J9" s="3">
        <f>199.184-I9-H9-G9</f>
        <v>69.336000000000013</v>
      </c>
      <c r="K9" s="2">
        <v>67.415000000000006</v>
      </c>
      <c r="L9" s="2">
        <v>85.378</v>
      </c>
      <c r="M9" s="2">
        <v>100.373</v>
      </c>
      <c r="P9" s="2">
        <v>98.331999999999994</v>
      </c>
      <c r="Q9" s="2">
        <v>140.62799999999999</v>
      </c>
      <c r="R9" s="2">
        <v>199.184</v>
      </c>
    </row>
    <row r="10" spans="2:18" s="2" customFormat="1" x14ac:dyDescent="0.2">
      <c r="B10" s="2" t="s">
        <v>14</v>
      </c>
      <c r="C10" s="3"/>
      <c r="D10" s="3"/>
      <c r="E10" s="3"/>
      <c r="F10" s="3"/>
      <c r="G10" s="2">
        <v>92.700999999999993</v>
      </c>
      <c r="H10" s="2">
        <v>109.852</v>
      </c>
      <c r="I10" s="2">
        <v>126.693</v>
      </c>
      <c r="J10" s="3">
        <f>504.647-I10-H10-G10</f>
        <v>175.40099999999998</v>
      </c>
      <c r="K10" s="2">
        <v>183.66200000000001</v>
      </c>
      <c r="L10" s="2">
        <v>225.489</v>
      </c>
      <c r="M10" s="2">
        <v>202.94300000000001</v>
      </c>
      <c r="P10" s="2">
        <v>315.86500000000001</v>
      </c>
      <c r="Q10" s="2">
        <v>349.44299999999998</v>
      </c>
      <c r="R10" s="2">
        <v>504.64699999999999</v>
      </c>
    </row>
    <row r="11" spans="2:18" s="4" customFormat="1" x14ac:dyDescent="0.2">
      <c r="B11" s="4" t="s">
        <v>1</v>
      </c>
      <c r="C11" s="5"/>
      <c r="D11" s="5"/>
      <c r="E11" s="5"/>
      <c r="F11" s="5"/>
      <c r="G11" s="4">
        <f t="shared" ref="G11:M11" si="0">+G10+G9</f>
        <v>127.797</v>
      </c>
      <c r="H11" s="4">
        <f t="shared" si="0"/>
        <v>153.13</v>
      </c>
      <c r="I11" s="4">
        <f t="shared" si="0"/>
        <v>178.167</v>
      </c>
      <c r="J11" s="4">
        <f t="shared" si="0"/>
        <v>244.73699999999999</v>
      </c>
      <c r="K11" s="4">
        <f t="shared" si="0"/>
        <v>251.077</v>
      </c>
      <c r="L11" s="4">
        <f t="shared" si="0"/>
        <v>310.86700000000002</v>
      </c>
      <c r="M11" s="4">
        <f t="shared" si="0"/>
        <v>303.31600000000003</v>
      </c>
      <c r="P11" s="4">
        <f>+P10+P9</f>
        <v>414.197</v>
      </c>
      <c r="Q11" s="4">
        <f>+Q10+Q9</f>
        <v>490.07099999999997</v>
      </c>
      <c r="R11" s="4">
        <f>+R10+R9</f>
        <v>703.83100000000002</v>
      </c>
    </row>
    <row r="12" spans="2:18" s="2" customFormat="1" x14ac:dyDescent="0.2">
      <c r="B12" s="2" t="s">
        <v>38</v>
      </c>
      <c r="C12" s="3"/>
      <c r="D12" s="3"/>
      <c r="E12" s="3"/>
      <c r="F12" s="3"/>
      <c r="I12" s="2">
        <v>88.933999999999997</v>
      </c>
      <c r="M12" s="2">
        <v>147.773</v>
      </c>
      <c r="P12" s="2">
        <v>239.87700000000001</v>
      </c>
      <c r="Q12" s="2">
        <v>286.85500000000002</v>
      </c>
      <c r="R12" s="2">
        <v>353.983</v>
      </c>
    </row>
    <row r="13" spans="2:18" s="2" customFormat="1" x14ac:dyDescent="0.2">
      <c r="B13" s="2" t="s">
        <v>39</v>
      </c>
      <c r="C13" s="3"/>
      <c r="D13" s="3"/>
      <c r="E13" s="3"/>
      <c r="F13" s="3"/>
      <c r="I13" s="2">
        <v>40.375</v>
      </c>
      <c r="M13" s="2">
        <v>78.292000000000002</v>
      </c>
    </row>
    <row r="14" spans="2:18" s="2" customFormat="1" x14ac:dyDescent="0.2">
      <c r="B14" s="2" t="s">
        <v>22</v>
      </c>
      <c r="C14" s="3"/>
      <c r="D14" s="3"/>
      <c r="E14" s="3"/>
      <c r="F14" s="3"/>
      <c r="G14" s="3">
        <v>98.222999999999999</v>
      </c>
      <c r="H14" s="3">
        <v>112.76600000000001</v>
      </c>
      <c r="I14" s="2">
        <f>+I13+I12</f>
        <v>129.309</v>
      </c>
      <c r="J14" s="3">
        <f>515.198-I14-H14-G14</f>
        <v>174.89999999999998</v>
      </c>
      <c r="K14" s="2">
        <v>184.529</v>
      </c>
      <c r="L14" s="2">
        <v>234.42</v>
      </c>
      <c r="M14" s="2">
        <f>+M13+M12</f>
        <v>226.065</v>
      </c>
    </row>
    <row r="15" spans="2:18" s="2" customFormat="1" x14ac:dyDescent="0.2">
      <c r="B15" s="2" t="s">
        <v>21</v>
      </c>
      <c r="C15" s="3"/>
      <c r="D15" s="3"/>
      <c r="E15" s="3"/>
      <c r="F15" s="3"/>
      <c r="G15" s="3">
        <f t="shared" ref="G15:M15" si="1">+G11-G14</f>
        <v>29.573999999999998</v>
      </c>
      <c r="H15" s="3">
        <f t="shared" si="1"/>
        <v>40.36399999999999</v>
      </c>
      <c r="I15" s="3">
        <f t="shared" si="1"/>
        <v>48.858000000000004</v>
      </c>
      <c r="J15" s="3">
        <f t="shared" si="1"/>
        <v>69.837000000000018</v>
      </c>
      <c r="K15" s="2">
        <f t="shared" si="1"/>
        <v>66.548000000000002</v>
      </c>
      <c r="L15" s="2">
        <f t="shared" si="1"/>
        <v>76.447000000000031</v>
      </c>
      <c r="M15" s="3">
        <f t="shared" si="1"/>
        <v>77.251000000000033</v>
      </c>
    </row>
    <row r="16" spans="2:18" s="2" customFormat="1" x14ac:dyDescent="0.2">
      <c r="B16" s="2" t="s">
        <v>20</v>
      </c>
      <c r="C16" s="3"/>
      <c r="D16" s="3"/>
      <c r="E16" s="3"/>
      <c r="F16" s="3"/>
      <c r="G16" s="3">
        <v>6.8959999999999999</v>
      </c>
      <c r="H16" s="3">
        <v>9.5350000000000001</v>
      </c>
      <c r="I16" s="3">
        <v>10.951000000000001</v>
      </c>
      <c r="J16" s="3">
        <f>41.386-I16-H16-G16</f>
        <v>14.004000000000001</v>
      </c>
      <c r="K16" s="2">
        <v>14.58</v>
      </c>
      <c r="L16" s="2">
        <v>19.46</v>
      </c>
      <c r="M16" s="2">
        <v>18.605</v>
      </c>
    </row>
    <row r="17" spans="2:18" s="2" customFormat="1" x14ac:dyDescent="0.2">
      <c r="B17" s="2" t="s">
        <v>19</v>
      </c>
      <c r="C17" s="3"/>
      <c r="D17" s="3"/>
      <c r="E17" s="3"/>
      <c r="F17" s="3"/>
      <c r="G17" s="3">
        <v>4.1500000000000004</v>
      </c>
      <c r="H17" s="3">
        <v>6.8970000000000002</v>
      </c>
      <c r="I17" s="3">
        <v>5.8310000000000004</v>
      </c>
      <c r="J17" s="3">
        <f>30.008-I17-H17-G17</f>
        <v>13.13</v>
      </c>
      <c r="K17" s="2">
        <v>15.388999999999999</v>
      </c>
      <c r="L17" s="2">
        <v>26.28</v>
      </c>
      <c r="M17" s="2">
        <v>15.295999999999999</v>
      </c>
    </row>
    <row r="18" spans="2:18" s="2" customFormat="1" x14ac:dyDescent="0.2">
      <c r="B18" s="2" t="s">
        <v>18</v>
      </c>
      <c r="C18" s="3"/>
      <c r="D18" s="3"/>
      <c r="E18" s="3"/>
      <c r="F18" s="3"/>
      <c r="G18" s="3">
        <v>0.67200000000000004</v>
      </c>
      <c r="H18" s="3">
        <v>0.53200000000000003</v>
      </c>
      <c r="I18" s="3">
        <v>0.377</v>
      </c>
      <c r="J18" s="3">
        <f>3.925-I18-H18-G18</f>
        <v>2.3439999999999999</v>
      </c>
      <c r="K18" s="2">
        <v>1.756</v>
      </c>
      <c r="L18" s="2">
        <v>3.097</v>
      </c>
      <c r="M18" s="2">
        <v>2.5819999999999999</v>
      </c>
    </row>
    <row r="19" spans="2:18" s="2" customFormat="1" x14ac:dyDescent="0.2">
      <c r="B19" s="2" t="s">
        <v>16</v>
      </c>
      <c r="C19" s="3"/>
      <c r="D19" s="3"/>
      <c r="E19" s="3"/>
      <c r="F19" s="3"/>
      <c r="G19" s="2">
        <f t="shared" ref="G19:M19" si="2">SUM(G16:G18)</f>
        <v>11.718</v>
      </c>
      <c r="H19" s="2">
        <f t="shared" si="2"/>
        <v>16.964000000000002</v>
      </c>
      <c r="I19" s="2">
        <f t="shared" si="2"/>
        <v>17.158999999999999</v>
      </c>
      <c r="J19" s="2">
        <f t="shared" si="2"/>
        <v>29.478000000000002</v>
      </c>
      <c r="K19" s="2">
        <f t="shared" si="2"/>
        <v>31.725000000000001</v>
      </c>
      <c r="L19" s="2">
        <f t="shared" si="2"/>
        <v>48.837000000000003</v>
      </c>
      <c r="M19" s="2">
        <f t="shared" si="2"/>
        <v>36.482999999999997</v>
      </c>
    </row>
    <row r="20" spans="2:18" s="2" customFormat="1" x14ac:dyDescent="0.2">
      <c r="B20" s="2" t="s">
        <v>17</v>
      </c>
      <c r="C20" s="3"/>
      <c r="D20" s="3"/>
      <c r="E20" s="3"/>
      <c r="F20" s="3"/>
      <c r="G20" s="2">
        <f t="shared" ref="G20:M20" si="3">G15-G19</f>
        <v>17.855999999999998</v>
      </c>
      <c r="H20" s="2">
        <f t="shared" si="3"/>
        <v>23.399999999999988</v>
      </c>
      <c r="I20" s="2">
        <f t="shared" si="3"/>
        <v>31.699000000000005</v>
      </c>
      <c r="J20" s="2">
        <f t="shared" si="3"/>
        <v>40.359000000000016</v>
      </c>
      <c r="K20" s="2">
        <f t="shared" si="3"/>
        <v>34.823</v>
      </c>
      <c r="L20" s="2">
        <f t="shared" si="3"/>
        <v>27.610000000000028</v>
      </c>
      <c r="M20" s="2">
        <f t="shared" si="3"/>
        <v>40.768000000000036</v>
      </c>
    </row>
    <row r="22" spans="2:18" x14ac:dyDescent="0.2">
      <c r="B22" s="2" t="s">
        <v>42</v>
      </c>
      <c r="M22" s="9">
        <f>(M10-M12)/M11</f>
        <v>0.18188951456566751</v>
      </c>
      <c r="P22" s="9">
        <f>(P10-P12)/P11</f>
        <v>0.18345859578896032</v>
      </c>
      <c r="Q22" s="9">
        <f>(Q10-Q12)/Q11</f>
        <v>0.12771210702122748</v>
      </c>
      <c r="R22" s="9">
        <f>(R10-R12)/R11</f>
        <v>0.21406275085922613</v>
      </c>
    </row>
    <row r="25" spans="2:18" s="7" customFormat="1" x14ac:dyDescent="0.2">
      <c r="B25" s="7" t="s">
        <v>24</v>
      </c>
      <c r="C25" s="6"/>
      <c r="D25" s="6"/>
      <c r="E25" s="6"/>
      <c r="F25" s="6"/>
      <c r="G25" s="6"/>
      <c r="H25" s="6"/>
      <c r="I25" s="6"/>
      <c r="J25" s="6">
        <f>183.283+0.885</f>
        <v>184.16799999999998</v>
      </c>
      <c r="K25" s="6"/>
      <c r="L25" s="6"/>
      <c r="M25" s="7">
        <f>217.581+0.746+42.17</f>
        <v>260.49700000000001</v>
      </c>
    </row>
    <row r="26" spans="2:18" s="7" customFormat="1" x14ac:dyDescent="0.2">
      <c r="B26" s="7" t="s">
        <v>25</v>
      </c>
      <c r="C26" s="6"/>
      <c r="D26" s="6"/>
      <c r="E26" s="6"/>
      <c r="F26" s="6"/>
      <c r="G26" s="6"/>
      <c r="H26" s="6"/>
      <c r="I26" s="6"/>
      <c r="J26" s="6">
        <v>58.875999999999998</v>
      </c>
      <c r="K26" s="6"/>
      <c r="L26" s="6"/>
      <c r="M26" s="7">
        <v>62.548999999999999</v>
      </c>
      <c r="Q26" s="7">
        <v>27.141999999999999</v>
      </c>
      <c r="R26" s="7">
        <v>58.875999999999998</v>
      </c>
    </row>
    <row r="27" spans="2:18" s="7" customFormat="1" x14ac:dyDescent="0.2">
      <c r="B27" s="7" t="s">
        <v>26</v>
      </c>
      <c r="C27" s="6"/>
      <c r="D27" s="6"/>
      <c r="E27" s="6"/>
      <c r="F27" s="6"/>
      <c r="G27" s="6"/>
      <c r="H27" s="6"/>
      <c r="I27" s="6"/>
      <c r="J27" s="6">
        <v>132.24700000000001</v>
      </c>
      <c r="K27" s="6"/>
      <c r="L27" s="6"/>
      <c r="M27" s="7">
        <v>183.22200000000001</v>
      </c>
      <c r="Q27" s="7">
        <v>78.337999999999994</v>
      </c>
      <c r="R27" s="7">
        <v>132.24700000000001</v>
      </c>
    </row>
    <row r="28" spans="2:18" s="7" customFormat="1" x14ac:dyDescent="0.2">
      <c r="B28" s="7" t="s">
        <v>27</v>
      </c>
      <c r="C28" s="6"/>
      <c r="D28" s="6"/>
      <c r="E28" s="6"/>
      <c r="F28" s="6"/>
      <c r="G28" s="6"/>
      <c r="H28" s="6"/>
      <c r="I28" s="6"/>
      <c r="J28" s="6">
        <v>17.515999999999998</v>
      </c>
      <c r="K28" s="6"/>
      <c r="L28" s="6"/>
      <c r="M28" s="7">
        <v>21.353999999999999</v>
      </c>
    </row>
    <row r="29" spans="2:18" s="7" customFormat="1" x14ac:dyDescent="0.2">
      <c r="B29" s="7" t="s">
        <v>28</v>
      </c>
      <c r="C29" s="6"/>
      <c r="D29" s="6"/>
      <c r="E29" s="6"/>
      <c r="F29" s="6"/>
      <c r="G29" s="6"/>
      <c r="H29" s="6"/>
      <c r="I29" s="6"/>
      <c r="J29" s="6">
        <v>398.92200000000003</v>
      </c>
      <c r="K29" s="6"/>
      <c r="L29" s="6"/>
      <c r="M29" s="7">
        <v>476.02699999999999</v>
      </c>
    </row>
    <row r="30" spans="2:18" s="7" customFormat="1" x14ac:dyDescent="0.2">
      <c r="B30" s="7" t="s">
        <v>29</v>
      </c>
      <c r="C30" s="6"/>
      <c r="D30" s="6"/>
      <c r="E30" s="6"/>
      <c r="F30" s="6"/>
      <c r="G30" s="6"/>
      <c r="H30" s="6"/>
      <c r="I30" s="6"/>
      <c r="J30" s="6">
        <v>24.614000000000001</v>
      </c>
      <c r="K30" s="6"/>
      <c r="L30" s="6"/>
      <c r="M30" s="7">
        <v>29.01</v>
      </c>
    </row>
    <row r="31" spans="2:18" s="7" customFormat="1" x14ac:dyDescent="0.2">
      <c r="B31" s="7" t="s">
        <v>30</v>
      </c>
      <c r="C31" s="6"/>
      <c r="D31" s="6"/>
      <c r="E31" s="6"/>
      <c r="F31" s="6"/>
      <c r="G31" s="6"/>
      <c r="H31" s="6"/>
      <c r="I31" s="6"/>
      <c r="J31" s="6">
        <f>8.367+12.586</f>
        <v>20.953000000000003</v>
      </c>
      <c r="K31" s="6"/>
      <c r="L31" s="6"/>
      <c r="M31" s="7">
        <f>6.739+12.586</f>
        <v>19.324999999999999</v>
      </c>
    </row>
    <row r="32" spans="2:18" s="7" customFormat="1" x14ac:dyDescent="0.2">
      <c r="B32" s="7" t="s">
        <v>31</v>
      </c>
      <c r="C32" s="6"/>
      <c r="D32" s="6"/>
      <c r="E32" s="6"/>
      <c r="F32" s="6"/>
      <c r="G32" s="6"/>
      <c r="H32" s="6"/>
      <c r="I32" s="6"/>
      <c r="J32" s="6">
        <v>1.44</v>
      </c>
      <c r="K32" s="6"/>
      <c r="L32" s="6"/>
      <c r="M32" s="7">
        <v>8.3249999999999993</v>
      </c>
    </row>
    <row r="33" spans="2:18" s="7" customFormat="1" x14ac:dyDescent="0.2">
      <c r="B33" s="7" t="s">
        <v>32</v>
      </c>
      <c r="C33" s="6"/>
      <c r="D33" s="6"/>
      <c r="E33" s="6"/>
      <c r="F33" s="6"/>
      <c r="G33" s="6"/>
      <c r="H33" s="6"/>
      <c r="I33" s="6"/>
      <c r="J33" s="6">
        <v>8.173</v>
      </c>
      <c r="K33" s="6"/>
      <c r="L33" s="6"/>
      <c r="M33" s="7">
        <v>12.933999999999999</v>
      </c>
    </row>
    <row r="34" spans="2:18" s="7" customFormat="1" x14ac:dyDescent="0.2">
      <c r="B34" s="7" t="s">
        <v>23</v>
      </c>
      <c r="C34" s="6"/>
      <c r="D34" s="6"/>
      <c r="E34" s="6"/>
      <c r="F34" s="6"/>
      <c r="G34" s="6"/>
      <c r="H34" s="6"/>
      <c r="I34" s="6"/>
      <c r="J34" s="7">
        <f>SUM(J25:J33)</f>
        <v>846.90900000000011</v>
      </c>
      <c r="K34" s="6"/>
      <c r="L34" s="6"/>
      <c r="M34" s="7">
        <f>SUM(M25:M33)</f>
        <v>1073.2430000000002</v>
      </c>
    </row>
    <row r="36" spans="2:18" x14ac:dyDescent="0.2">
      <c r="B36" s="7" t="s">
        <v>40</v>
      </c>
      <c r="Q36" s="7">
        <f>Q26/Q11*365</f>
        <v>20.215091282691695</v>
      </c>
      <c r="R36" s="7">
        <f>R26/R11*365</f>
        <v>30.532528405256375</v>
      </c>
    </row>
    <row r="37" spans="2:18" x14ac:dyDescent="0.2">
      <c r="B37" s="7" t="s">
        <v>41</v>
      </c>
      <c r="J37" s="8">
        <f>+J14/J27</f>
        <v>1.3225252746754177</v>
      </c>
      <c r="K37" s="8"/>
      <c r="L37" s="8"/>
      <c r="M37" s="8">
        <f>+M12/M27</f>
        <v>0.80652432568141375</v>
      </c>
      <c r="Q37" s="8">
        <f>+Q12/Q27</f>
        <v>3.6617605759656877</v>
      </c>
      <c r="R37" s="8">
        <f>+R12/R27</f>
        <v>2.6766807564632842</v>
      </c>
    </row>
    <row r="40" spans="2:18" x14ac:dyDescent="0.2">
      <c r="B40" t="s">
        <v>43</v>
      </c>
      <c r="P40" s="7">
        <v>8.5559999999999992</v>
      </c>
      <c r="Q40" s="7">
        <v>49.655999999999999</v>
      </c>
      <c r="R40" s="7">
        <v>133.452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2024-12-30T15:59:33Z</dcterms:created>
  <dcterms:modified xsi:type="dcterms:W3CDTF">2025-10-13T13:04:02Z</dcterms:modified>
</cp:coreProperties>
</file>