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4D9186D-98D5-4D18-9DB3-9B0F4C77C264}" xr6:coauthVersionLast="47" xr6:coauthVersionMax="47" xr10:uidLastSave="{00000000-0000-0000-0000-000000000000}"/>
  <bookViews>
    <workbookView xWindow="3375" yWindow="3375" windowWidth="18075" windowHeight="16020" activeTab="1" xr2:uid="{FDA70B40-2F27-47CC-B87B-E14D5E7D79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2" l="1"/>
  <c r="Z18" i="2"/>
  <c r="Y17" i="2"/>
  <c r="Y15" i="2"/>
  <c r="N10" i="2"/>
  <c r="M10" i="2"/>
  <c r="N11" i="2"/>
  <c r="M11" i="2"/>
  <c r="N12" i="2"/>
  <c r="M12" i="2"/>
  <c r="M13" i="2"/>
  <c r="M14" i="2" s="1"/>
  <c r="N9" i="2"/>
  <c r="M9" i="2"/>
  <c r="N8" i="2"/>
  <c r="M8" i="2"/>
  <c r="Y8" i="2"/>
  <c r="Y9" i="2" s="1"/>
  <c r="X9" i="2"/>
  <c r="X13" i="2"/>
  <c r="X14" i="2"/>
  <c r="X16" i="2" s="1"/>
  <c r="X18" i="2" s="1"/>
  <c r="X19" i="2" s="1"/>
  <c r="Y20" i="2"/>
  <c r="X20" i="2"/>
  <c r="Y23" i="2"/>
  <c r="X7" i="2"/>
  <c r="Y7" i="2"/>
  <c r="U13" i="2"/>
  <c r="U7" i="2"/>
  <c r="U9" i="2" s="1"/>
  <c r="V13" i="2"/>
  <c r="V7" i="2"/>
  <c r="V9" i="2" s="1"/>
  <c r="W13" i="2"/>
  <c r="W7" i="2"/>
  <c r="W9" i="2" s="1"/>
  <c r="E13" i="2"/>
  <c r="E7" i="2"/>
  <c r="E9" i="2" s="1"/>
  <c r="I13" i="2"/>
  <c r="F13" i="2"/>
  <c r="F7" i="2"/>
  <c r="F9" i="2" s="1"/>
  <c r="J13" i="2"/>
  <c r="J7" i="2"/>
  <c r="I7" i="2"/>
  <c r="I9" i="2" s="1"/>
  <c r="I14" i="2" s="1"/>
  <c r="I16" i="2" s="1"/>
  <c r="I18" i="2" s="1"/>
  <c r="I19" i="2" s="1"/>
  <c r="H7" i="2"/>
  <c r="H9" i="2" s="1"/>
  <c r="G7" i="2"/>
  <c r="D7" i="2"/>
  <c r="C7" i="2"/>
  <c r="H28" i="2"/>
  <c r="L28" i="2"/>
  <c r="G15" i="2"/>
  <c r="G13" i="2"/>
  <c r="G9" i="2"/>
  <c r="K15" i="2"/>
  <c r="K13" i="2"/>
  <c r="K7" i="2"/>
  <c r="K9" i="2" s="1"/>
  <c r="H15" i="2"/>
  <c r="L15" i="2"/>
  <c r="H13" i="2"/>
  <c r="L13" i="2"/>
  <c r="L7" i="2"/>
  <c r="L9" i="2" s="1"/>
  <c r="K7" i="1"/>
  <c r="K5" i="1"/>
  <c r="K4" i="1"/>
  <c r="Y13" i="2" l="1"/>
  <c r="Y14" i="2" s="1"/>
  <c r="Y16" i="2" s="1"/>
  <c r="Y18" i="2" s="1"/>
  <c r="Y19" i="2" s="1"/>
  <c r="N13" i="2"/>
  <c r="N14" i="2" s="1"/>
  <c r="W14" i="2"/>
  <c r="W16" i="2" s="1"/>
  <c r="W18" i="2" s="1"/>
  <c r="W19" i="2" s="1"/>
  <c r="V23" i="2"/>
  <c r="W23" i="2"/>
  <c r="J9" i="2"/>
  <c r="J14" i="2" s="1"/>
  <c r="J16" i="2" s="1"/>
  <c r="J18" i="2" s="1"/>
  <c r="J19" i="2" s="1"/>
  <c r="J23" i="2"/>
  <c r="L14" i="2"/>
  <c r="L16" i="2" s="1"/>
  <c r="L18" i="2" s="1"/>
  <c r="L19" i="2" s="1"/>
  <c r="X23" i="2"/>
  <c r="U14" i="2"/>
  <c r="U16" i="2" s="1"/>
  <c r="U18" i="2" s="1"/>
  <c r="U19" i="2" s="1"/>
  <c r="V14" i="2"/>
  <c r="V16" i="2" s="1"/>
  <c r="V18" i="2" s="1"/>
  <c r="V19" i="2" s="1"/>
  <c r="E14" i="2"/>
  <c r="E16" i="2" s="1"/>
  <c r="E18" i="2" s="1"/>
  <c r="E19" i="2" s="1"/>
  <c r="I23" i="2"/>
  <c r="F14" i="2"/>
  <c r="F16" i="2" s="1"/>
  <c r="F18" i="2" s="1"/>
  <c r="F19" i="2" s="1"/>
  <c r="L23" i="2"/>
  <c r="H14" i="2"/>
  <c r="H16" i="2" s="1"/>
  <c r="H18" i="2" s="1"/>
  <c r="H19" i="2" s="1"/>
  <c r="K23" i="2"/>
  <c r="G14" i="2"/>
  <c r="G16" i="2" s="1"/>
  <c r="G18" i="2" s="1"/>
  <c r="G19" i="2" s="1"/>
  <c r="K14" i="2"/>
  <c r="K16" i="2" l="1"/>
  <c r="K18" i="2" s="1"/>
  <c r="K19" i="2" s="1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<sst xmlns="http://schemas.openxmlformats.org/spreadsheetml/2006/main" count="44" uniqueCount="40">
  <si>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</si>
  <si>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</si>
  <si>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</si>
  <si>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</si>
  <si>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</si>
  <si>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</si>
  <si>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Q224</t>
  </si>
  <si>
    <t>Main</t>
  </si>
  <si>
    <t>Subscription</t>
  </si>
  <si>
    <t>Q123</t>
  </si>
  <si>
    <t>Q223</t>
  </si>
  <si>
    <t>Q323</t>
  </si>
  <si>
    <t>Q423</t>
  </si>
  <si>
    <t>Q124</t>
  </si>
  <si>
    <t>Q324</t>
  </si>
  <si>
    <t>Q424</t>
  </si>
  <si>
    <t>Q122</t>
  </si>
  <si>
    <t>Q222</t>
  </si>
  <si>
    <t>Q322</t>
  </si>
  <si>
    <t>Q422</t>
  </si>
  <si>
    <t>Revenue</t>
  </si>
  <si>
    <t>Services</t>
  </si>
  <si>
    <t>Operating Income</t>
  </si>
  <si>
    <t>Operating Expenses</t>
  </si>
  <si>
    <t>G&amp;A</t>
  </si>
  <si>
    <t>S&amp;M</t>
  </si>
  <si>
    <t>R&amp;D</t>
  </si>
  <si>
    <t>COGS</t>
  </si>
  <si>
    <t>Gross Profit</t>
  </si>
  <si>
    <t>Pretax Income</t>
  </si>
  <si>
    <t>Interest Income</t>
  </si>
  <si>
    <t>Taxes</t>
  </si>
  <si>
    <t>Net Income</t>
  </si>
  <si>
    <t>EPS</t>
  </si>
  <si>
    <t>Revenue y/y</t>
  </si>
  <si>
    <t>Customers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</si>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</sst>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C340A53-91C8-464B-AC94-729645B7BD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45513</xdr:colOff>
      <xdr:row>0</xdr:row>
      <xdr:rowOff>0</xdr:rowOff>
    </xdr:from>
    <xdr:to>
      <xdr:col>14</xdr:col>
      <xdr:colOff>45513</xdr:colOff>
      <xdr:row>34</xdr:row>
      <xdr:rowOff>46464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8D913F7-9B85-45DE-10E7-32D9F33D5DE1}"/>
            </a:ext>
          </a:extLst>
        </xdr:cNvPr>
        <xdr:cNvCxnSpPr/>
      </xdr:nvCxnSpPr>
      <xdr:spPr>
        <a:xfrm>
          <a:off x="8340922" y="0"/>
          <a:ext cx="0" cy="54930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0</xdr:row>
      <xdr:rowOff>0</xdr:rowOff>
    </xdr:from>
    <xdr:to>
      <xdr:col>25</xdr:col>
      <xdr:colOff>28575</xdr:colOff>
      <xdr:row>34</xdr:row>
      <xdr:rowOff>46464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C2E6C09-12A8-46B9-8C85-D4DB9AB28A8F}"/>
            </a:ext>
          </a:extLst>
        </xdr:cNvPr>
        <xdr:cNvCxnSpPr/>
      </xdr:nvCxnSpPr>
      <xdr:spPr>
        <a:xfrm>
          <a:off x="14830425" y="0"/>
          <a:ext cx="0" cy="55519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1E91-CF1C-43CA-A546-43DCCCC675A2}">
  <dimension ref="J2:L7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>
        <v>526.75</v>
      </c>
    </row>
    <row r="3" spans="10:12" x14ac:dyDescent="0.2">
      <c r="J3" t="s">
        <v>1</v>
      </c>
      <c r="K3" s="1">
        <v>51.348838000000001</v>
      </c>
      <c r="L3" s="2" t="s">
        <v>6</v>
      </c>
    </row>
    <row r="4" spans="10:12" x14ac:dyDescent="0.2">
      <c r="J4" t="s">
        <v>2</v>
      </c>
      <c r="K4" s="1">
        <f>+K2*K3</f>
        <v>27048.000416499999</v>
      </c>
      <c r="L4" s="2"/>
    </row>
    <row r="5" spans="10:12" x14ac:dyDescent="0.2">
      <c r="J5" t="s">
        <v>3</v>
      </c>
      <c r="K5" s="1">
        <f>797.875+937.83+209.992</f>
        <v>1945.6969999999999</v>
      </c>
      <c r="L5" s="2" t="s">
        <v>6</v>
      </c>
    </row>
    <row r="6" spans="10:12" x14ac:dyDescent="0.2">
      <c r="J6" t="s">
        <v>4</v>
      </c>
      <c r="K6" s="1">
        <v>457.19600000000003</v>
      </c>
      <c r="L6" s="2" t="s">
        <v>6</v>
      </c>
    </row>
    <row r="7" spans="10:12" x14ac:dyDescent="0.2">
      <c r="J7" t="s">
        <v>5</v>
      </c>
      <c r="K7" s="1">
        <f>+K4-K5+K6</f>
        <v>25559.499416499999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20F7-A4EB-4F76-B0FA-B4F3AEE3BACD}">
  <dimension ref="A1:AA31"/>
  <sheetViews>
    <sheetView tabSelected="1" zoomScaleNormal="100" workbookViewId="0">
      <pane xSplit="2" ySplit="2" topLeftCell="M5" activePane="bottomRight" state="frozen"/>
      <selection pane="topRight" activeCell="C1" sqref="C1"/>
      <selection pane="bottomLeft" activeCell="A3" sqref="A3"/>
      <selection pane="bottomRight" activeCell="AA18" sqref="AA18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8.42578125" style="2" customWidth="1"/>
  </cols>
  <sheetData>
    <row r="1" spans="1:26" x14ac:dyDescent="0.2">
      <c r="A1" t="s">
        <v>7</v>
      </c>
    </row>
    <row r="2" spans="1:26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6</v>
      </c>
      <c r="M2" s="2" t="s">
        <v>14</v>
      </c>
      <c r="N2" s="2" t="s">
        <v>15</v>
      </c>
      <c r="O2" s="2" t="s">
        <v>36</v>
      </c>
      <c r="P2" s="2" t="s">
        <v>37</v>
      </c>
      <c r="Q2" s="2" t="s">
        <v>38</v>
      </c>
      <c r="R2" s="2" t="s">
        <v>39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2023</v>
      </c>
    </row>
    <row r="3" spans="1:26" s="1" customFormat="1" x14ac:dyDescent="0.2">
      <c r="B3" s="1" t="s">
        <v>35</v>
      </c>
      <c r="C3" s="3"/>
      <c r="D3" s="3"/>
      <c r="E3" s="3"/>
      <c r="F3" s="3"/>
      <c r="G3" s="3"/>
      <c r="H3" s="3"/>
      <c r="I3" s="3"/>
      <c r="J3" s="3">
        <v>205.09100000000001</v>
      </c>
      <c r="K3" s="3"/>
      <c r="L3" s="3"/>
      <c r="M3" s="3"/>
      <c r="N3" s="3"/>
      <c r="O3" s="3"/>
      <c r="P3" s="3"/>
      <c r="Q3" s="3"/>
      <c r="R3" s="3"/>
      <c r="U3" s="1">
        <v>103.994</v>
      </c>
      <c r="V3" s="1">
        <v>135.44200000000001</v>
      </c>
      <c r="W3" s="1">
        <v>167.386</v>
      </c>
    </row>
    <row r="5" spans="1:26" s="1" customFormat="1" x14ac:dyDescent="0.2">
      <c r="B5" s="1" t="s">
        <v>8</v>
      </c>
      <c r="C5" s="3"/>
      <c r="D5" s="3"/>
      <c r="E5" s="3">
        <v>435.03</v>
      </c>
      <c r="F5" s="3">
        <v>458.15199999999999</v>
      </c>
      <c r="G5" s="3">
        <v>489.74299999999999</v>
      </c>
      <c r="H5" s="3">
        <v>517.678</v>
      </c>
      <c r="I5" s="3">
        <v>545.83199999999999</v>
      </c>
      <c r="J5" s="3">
        <v>570.22500000000002</v>
      </c>
      <c r="K5" s="3">
        <v>603.798</v>
      </c>
      <c r="L5" s="3">
        <v>623.76300000000003</v>
      </c>
      <c r="M5" s="3"/>
      <c r="N5" s="3"/>
      <c r="O5" s="3"/>
      <c r="P5" s="3"/>
      <c r="Q5" s="3"/>
      <c r="R5" s="3"/>
      <c r="U5" s="1">
        <v>853.02499999999998</v>
      </c>
      <c r="V5" s="1">
        <v>1258.319</v>
      </c>
      <c r="W5" s="1">
        <v>1690.538</v>
      </c>
    </row>
    <row r="6" spans="1:26" s="1" customFormat="1" x14ac:dyDescent="0.2">
      <c r="B6" s="1" t="s">
        <v>21</v>
      </c>
      <c r="C6" s="3"/>
      <c r="D6" s="3"/>
      <c r="E6" s="3">
        <v>8.9280000000000008</v>
      </c>
      <c r="F6" s="3">
        <v>11.506</v>
      </c>
      <c r="G6" s="3">
        <v>11.877000000000001</v>
      </c>
      <c r="H6" s="3">
        <v>11.46</v>
      </c>
      <c r="I6" s="3">
        <v>11.725</v>
      </c>
      <c r="J6" s="3">
        <v>11.689</v>
      </c>
      <c r="K6" s="3">
        <v>13.616</v>
      </c>
      <c r="L6" s="3">
        <v>13.467000000000001</v>
      </c>
      <c r="M6" s="3"/>
      <c r="N6" s="3"/>
      <c r="O6" s="3"/>
      <c r="P6" s="3"/>
      <c r="Q6" s="3"/>
      <c r="R6" s="3"/>
      <c r="U6" s="1">
        <v>30.001000000000001</v>
      </c>
      <c r="V6" s="1">
        <v>42.338999999999999</v>
      </c>
      <c r="W6" s="1">
        <v>40.430999999999997</v>
      </c>
    </row>
    <row r="7" spans="1:26" s="4" customFormat="1" x14ac:dyDescent="0.2">
      <c r="B7" s="4" t="s">
        <v>20</v>
      </c>
      <c r="C7" s="5">
        <f t="shared" ref="C7:J7" si="0">+C5+C6</f>
        <v>0</v>
      </c>
      <c r="D7" s="5">
        <f t="shared" si="0"/>
        <v>0</v>
      </c>
      <c r="E7" s="5">
        <f t="shared" si="0"/>
        <v>443.95799999999997</v>
      </c>
      <c r="F7" s="5">
        <f t="shared" si="0"/>
        <v>469.65800000000002</v>
      </c>
      <c r="G7" s="5">
        <f t="shared" si="0"/>
        <v>501.62</v>
      </c>
      <c r="H7" s="5">
        <f t="shared" si="0"/>
        <v>529.13800000000003</v>
      </c>
      <c r="I7" s="5">
        <f t="shared" si="0"/>
        <v>557.55700000000002</v>
      </c>
      <c r="J7" s="5">
        <f t="shared" si="0"/>
        <v>581.91399999999999</v>
      </c>
      <c r="K7" s="5">
        <f>+K5+K6</f>
        <v>617.41399999999999</v>
      </c>
      <c r="L7" s="5">
        <f>+L5+L6</f>
        <v>637.23</v>
      </c>
      <c r="M7" s="5">
        <v>669.7</v>
      </c>
      <c r="N7" s="5">
        <v>703.2</v>
      </c>
      <c r="O7" s="5"/>
      <c r="P7" s="5"/>
      <c r="Q7" s="5"/>
      <c r="R7" s="5"/>
      <c r="U7" s="4">
        <f>+U5+U6</f>
        <v>883.02599999999995</v>
      </c>
      <c r="V7" s="4">
        <f>+V5+V6</f>
        <v>1300.6579999999999</v>
      </c>
      <c r="W7" s="4">
        <f>+W5+W6</f>
        <v>1730.9690000000001</v>
      </c>
      <c r="X7" s="4">
        <f>SUM(G7:J7)</f>
        <v>2170.2290000000003</v>
      </c>
      <c r="Y7" s="4">
        <f>SUM(K7:N7)</f>
        <v>2627.5439999999999</v>
      </c>
    </row>
    <row r="8" spans="1:26" s="1" customFormat="1" x14ac:dyDescent="0.2">
      <c r="B8" s="1" t="s">
        <v>27</v>
      </c>
      <c r="C8" s="3"/>
      <c r="D8" s="3"/>
      <c r="E8" s="3">
        <v>82.126999999999995</v>
      </c>
      <c r="F8" s="3">
        <v>80.265000000000001</v>
      </c>
      <c r="G8" s="3">
        <v>80.328999999999994</v>
      </c>
      <c r="H8" s="3">
        <v>84.956000000000003</v>
      </c>
      <c r="I8" s="3">
        <v>87.525999999999996</v>
      </c>
      <c r="J8" s="3">
        <v>88.635000000000005</v>
      </c>
      <c r="K8" s="3">
        <v>95.087999999999994</v>
      </c>
      <c r="L8" s="3">
        <v>95.516999999999996</v>
      </c>
      <c r="M8" s="3">
        <f>+L8</f>
        <v>95.516999999999996</v>
      </c>
      <c r="N8" s="3">
        <f>+M8</f>
        <v>95.516999999999996</v>
      </c>
      <c r="O8" s="3"/>
      <c r="P8" s="3"/>
      <c r="Q8" s="3"/>
      <c r="R8" s="3"/>
      <c r="U8" s="1">
        <v>166.959</v>
      </c>
      <c r="V8" s="1">
        <v>258.85700000000003</v>
      </c>
      <c r="W8" s="1">
        <v>314.25900000000001</v>
      </c>
      <c r="Y8" s="1">
        <f>SUM(K8:N8)</f>
        <v>381.63899999999995</v>
      </c>
    </row>
    <row r="9" spans="1:26" s="1" customFormat="1" x14ac:dyDescent="0.2">
      <c r="B9" s="1" t="s">
        <v>28</v>
      </c>
      <c r="C9" s="3"/>
      <c r="D9" s="3"/>
      <c r="E9" s="3">
        <f t="shared" ref="E9:N9" si="1">+E7-E8</f>
        <v>361.83099999999996</v>
      </c>
      <c r="F9" s="3">
        <f t="shared" si="1"/>
        <v>389.39300000000003</v>
      </c>
      <c r="G9" s="3">
        <f t="shared" si="1"/>
        <v>421.291</v>
      </c>
      <c r="H9" s="3">
        <f t="shared" si="1"/>
        <v>444.18200000000002</v>
      </c>
      <c r="I9" s="3">
        <f t="shared" si="1"/>
        <v>470.03100000000001</v>
      </c>
      <c r="J9" s="3">
        <f t="shared" si="1"/>
        <v>493.279</v>
      </c>
      <c r="K9" s="3">
        <f t="shared" si="1"/>
        <v>522.32600000000002</v>
      </c>
      <c r="L9" s="3">
        <f t="shared" si="1"/>
        <v>541.71299999999997</v>
      </c>
      <c r="M9" s="3">
        <f t="shared" si="1"/>
        <v>574.18299999999999</v>
      </c>
      <c r="N9" s="3">
        <f t="shared" si="1"/>
        <v>607.68299999999999</v>
      </c>
      <c r="O9" s="3"/>
      <c r="P9" s="3"/>
      <c r="Q9" s="3"/>
      <c r="R9" s="3"/>
      <c r="U9" s="1">
        <f>+U7-U8</f>
        <v>716.06700000000001</v>
      </c>
      <c r="V9" s="1">
        <f>+V7-V8</f>
        <v>1041.8009999999999</v>
      </c>
      <c r="W9" s="1">
        <f>+W7-W8</f>
        <v>1416.71</v>
      </c>
      <c r="X9" s="1">
        <f>+X7-X8</f>
        <v>2170.2290000000003</v>
      </c>
      <c r="Y9" s="1">
        <f>+Y7-Y8</f>
        <v>2245.9049999999997</v>
      </c>
    </row>
    <row r="10" spans="1:26" s="1" customFormat="1" x14ac:dyDescent="0.2">
      <c r="B10" s="1" t="s">
        <v>26</v>
      </c>
      <c r="C10" s="3"/>
      <c r="D10" s="3"/>
      <c r="E10" s="3">
        <v>114.038</v>
      </c>
      <c r="F10" s="3">
        <v>116.334</v>
      </c>
      <c r="G10" s="3">
        <v>127.68300000000001</v>
      </c>
      <c r="H10" s="3">
        <v>169.95500000000001</v>
      </c>
      <c r="I10" s="3">
        <v>156.87100000000001</v>
      </c>
      <c r="J10" s="3">
        <v>163.23400000000001</v>
      </c>
      <c r="K10" s="3">
        <v>175.637</v>
      </c>
      <c r="L10" s="3">
        <v>198.18</v>
      </c>
      <c r="M10" s="3">
        <f t="shared" ref="M10:N12" si="2">+L10</f>
        <v>198.18</v>
      </c>
      <c r="N10" s="3">
        <f t="shared" si="2"/>
        <v>198.18</v>
      </c>
      <c r="O10" s="3"/>
      <c r="P10" s="3"/>
      <c r="Q10" s="3"/>
      <c r="R10" s="3"/>
      <c r="U10" s="1">
        <v>205.589</v>
      </c>
      <c r="V10" s="1">
        <v>301.97000000000003</v>
      </c>
      <c r="W10" s="1">
        <v>442.02199999999999</v>
      </c>
      <c r="Y10" s="1">
        <v>600</v>
      </c>
    </row>
    <row r="11" spans="1:26" s="1" customFormat="1" x14ac:dyDescent="0.2">
      <c r="B11" s="1" t="s">
        <v>25</v>
      </c>
      <c r="C11" s="3"/>
      <c r="D11" s="3"/>
      <c r="E11" s="3">
        <v>229.541</v>
      </c>
      <c r="F11" s="3">
        <v>235.13200000000001</v>
      </c>
      <c r="G11" s="3">
        <v>250.68299999999999</v>
      </c>
      <c r="H11" s="3">
        <v>265.29399999999998</v>
      </c>
      <c r="I11" s="3">
        <v>271.44799999999998</v>
      </c>
      <c r="J11" s="3">
        <v>281.13600000000002</v>
      </c>
      <c r="K11" s="3">
        <v>300.28199999999998</v>
      </c>
      <c r="L11" s="3">
        <v>293.79399999999998</v>
      </c>
      <c r="M11" s="3">
        <f t="shared" si="2"/>
        <v>293.79399999999998</v>
      </c>
      <c r="N11" s="3">
        <f t="shared" si="2"/>
        <v>293.79399999999998</v>
      </c>
      <c r="O11" s="3"/>
      <c r="P11" s="3"/>
      <c r="Q11" s="3"/>
      <c r="R11" s="3"/>
      <c r="U11" s="1">
        <v>452.08100000000002</v>
      </c>
      <c r="V11" s="1">
        <v>649.68100000000004</v>
      </c>
      <c r="W11" s="1">
        <v>886.06899999999996</v>
      </c>
      <c r="Y11" s="1">
        <v>600</v>
      </c>
    </row>
    <row r="12" spans="1:26" s="1" customFormat="1" x14ac:dyDescent="0.2">
      <c r="B12" s="1" t="s">
        <v>24</v>
      </c>
      <c r="C12" s="3"/>
      <c r="D12" s="3"/>
      <c r="E12" s="3">
        <v>50.465000000000003</v>
      </c>
      <c r="F12" s="3">
        <v>51.412999999999997</v>
      </c>
      <c r="G12" s="3">
        <v>57.405000000000001</v>
      </c>
      <c r="H12" s="3">
        <v>61.222000000000001</v>
      </c>
      <c r="I12" s="3">
        <v>61.308</v>
      </c>
      <c r="J12" s="3">
        <v>69.707999999999998</v>
      </c>
      <c r="K12" s="3">
        <v>68.858000000000004</v>
      </c>
      <c r="L12" s="3">
        <v>72.596999999999994</v>
      </c>
      <c r="M12" s="3">
        <f t="shared" si="2"/>
        <v>72.596999999999994</v>
      </c>
      <c r="N12" s="3">
        <f t="shared" si="2"/>
        <v>72.596999999999994</v>
      </c>
      <c r="O12" s="3"/>
      <c r="P12" s="3"/>
      <c r="Q12" s="3"/>
      <c r="R12" s="3"/>
      <c r="U12" s="1">
        <v>109.22499999999999</v>
      </c>
      <c r="V12" s="1">
        <v>144.94900000000001</v>
      </c>
      <c r="W12" s="1">
        <v>197.72</v>
      </c>
      <c r="Y12" s="1">
        <v>50</v>
      </c>
    </row>
    <row r="13" spans="1:26" s="1" customFormat="1" x14ac:dyDescent="0.2">
      <c r="B13" s="1" t="s">
        <v>23</v>
      </c>
      <c r="C13" s="3"/>
      <c r="D13" s="3"/>
      <c r="E13" s="3">
        <f t="shared" ref="E13:N13" si="3">+E10+E11+E12</f>
        <v>394.04399999999998</v>
      </c>
      <c r="F13" s="3">
        <f t="shared" si="3"/>
        <v>402.87900000000002</v>
      </c>
      <c r="G13" s="3">
        <f t="shared" si="3"/>
        <v>435.77099999999996</v>
      </c>
      <c r="H13" s="3">
        <f t="shared" si="3"/>
        <v>496.471</v>
      </c>
      <c r="I13" s="3">
        <f t="shared" si="3"/>
        <v>489.62699999999995</v>
      </c>
      <c r="J13" s="3">
        <f t="shared" si="3"/>
        <v>514.07799999999997</v>
      </c>
      <c r="K13" s="3">
        <f t="shared" si="3"/>
        <v>544.77700000000004</v>
      </c>
      <c r="L13" s="3">
        <f t="shared" si="3"/>
        <v>564.57100000000003</v>
      </c>
      <c r="M13" s="3">
        <f t="shared" si="3"/>
        <v>564.57100000000003</v>
      </c>
      <c r="N13" s="3">
        <f t="shared" si="3"/>
        <v>564.57100000000003</v>
      </c>
      <c r="O13" s="3"/>
      <c r="P13" s="3"/>
      <c r="Q13" s="3"/>
      <c r="R13" s="3"/>
      <c r="U13" s="1">
        <f>U12+U11+U10</f>
        <v>766.89499999999998</v>
      </c>
      <c r="V13" s="1">
        <f>V12+V11+V10</f>
        <v>1096.6000000000001</v>
      </c>
      <c r="W13" s="1">
        <f>W12+W11+W10</f>
        <v>1525.8109999999999</v>
      </c>
      <c r="X13" s="1">
        <f>X12+X11+X10</f>
        <v>0</v>
      </c>
      <c r="Y13" s="1">
        <f>Y12+Y11+Y10</f>
        <v>1250</v>
      </c>
    </row>
    <row r="14" spans="1:26" s="1" customFormat="1" x14ac:dyDescent="0.2">
      <c r="B14" s="1" t="s">
        <v>22</v>
      </c>
      <c r="C14" s="3"/>
      <c r="D14" s="3"/>
      <c r="E14" s="3">
        <f t="shared" ref="E14:N14" si="4">+E9-E13</f>
        <v>-32.213000000000022</v>
      </c>
      <c r="F14" s="3">
        <f t="shared" si="4"/>
        <v>-13.48599999999999</v>
      </c>
      <c r="G14" s="3">
        <f t="shared" si="4"/>
        <v>-14.479999999999961</v>
      </c>
      <c r="H14" s="3">
        <f t="shared" si="4"/>
        <v>-52.288999999999987</v>
      </c>
      <c r="I14" s="3">
        <f t="shared" si="4"/>
        <v>-19.595999999999947</v>
      </c>
      <c r="J14" s="3">
        <f t="shared" si="4"/>
        <v>-20.798999999999978</v>
      </c>
      <c r="K14" s="3">
        <f t="shared" si="4"/>
        <v>-22.451000000000022</v>
      </c>
      <c r="L14" s="3">
        <f t="shared" si="4"/>
        <v>-22.858000000000061</v>
      </c>
      <c r="M14" s="3">
        <f t="shared" si="4"/>
        <v>9.6119999999999663</v>
      </c>
      <c r="N14" s="3">
        <f t="shared" si="4"/>
        <v>43.111999999999966</v>
      </c>
      <c r="O14" s="3"/>
      <c r="P14" s="3"/>
      <c r="Q14" s="3"/>
      <c r="R14" s="3"/>
      <c r="U14" s="1">
        <f>+U9-U13</f>
        <v>-50.827999999999975</v>
      </c>
      <c r="V14" s="1">
        <f>+V9-V13</f>
        <v>-54.799000000000206</v>
      </c>
      <c r="W14" s="1">
        <f>+W9-W13</f>
        <v>-109.10099999999989</v>
      </c>
      <c r="X14" s="1">
        <f>+X9-X13</f>
        <v>2170.2290000000003</v>
      </c>
      <c r="Y14" s="1">
        <f>+Y9-Y13</f>
        <v>995.90499999999975</v>
      </c>
    </row>
    <row r="15" spans="1:26" x14ac:dyDescent="0.2">
      <c r="B15" s="1" t="s">
        <v>30</v>
      </c>
      <c r="E15" s="3">
        <v>2.5499999999999998</v>
      </c>
      <c r="F15" s="3">
        <v>0.59199999999999997</v>
      </c>
      <c r="G15" s="3">
        <f>10.472-0.93-0.794</f>
        <v>8.7479999999999993</v>
      </c>
      <c r="H15" s="3">
        <f>13.542-0.937+0.33</f>
        <v>12.935</v>
      </c>
      <c r="I15" s="2">
        <v>13.567</v>
      </c>
      <c r="J15" s="3">
        <v>15.098000000000001</v>
      </c>
      <c r="K15" s="3">
        <f>18.727-0.935+13.161</f>
        <v>30.953000000000003</v>
      </c>
      <c r="L15" s="3">
        <f>20.37-0.901+1.784</f>
        <v>21.253</v>
      </c>
      <c r="U15" s="1">
        <v>-29.986999999999998</v>
      </c>
      <c r="V15" s="1">
        <v>-19.018999999999998</v>
      </c>
      <c r="W15" s="1">
        <v>4.4089999999999998</v>
      </c>
      <c r="Y15" s="1">
        <f>SUM(K15:N15)</f>
        <v>52.206000000000003</v>
      </c>
    </row>
    <row r="16" spans="1:26" x14ac:dyDescent="0.2">
      <c r="B16" s="1" t="s">
        <v>29</v>
      </c>
      <c r="E16" s="3">
        <f t="shared" ref="E16:L16" si="5">+E14+E15</f>
        <v>-29.663000000000022</v>
      </c>
      <c r="F16" s="3">
        <f t="shared" si="5"/>
        <v>-12.893999999999989</v>
      </c>
      <c r="G16" s="3">
        <f t="shared" si="5"/>
        <v>-5.731999999999962</v>
      </c>
      <c r="H16" s="3">
        <f t="shared" si="5"/>
        <v>-39.353999999999985</v>
      </c>
      <c r="I16" s="3">
        <f t="shared" si="5"/>
        <v>-6.0289999999999466</v>
      </c>
      <c r="J16" s="3">
        <f t="shared" si="5"/>
        <v>-5.7009999999999774</v>
      </c>
      <c r="K16" s="3">
        <f t="shared" si="5"/>
        <v>8.5019999999999811</v>
      </c>
      <c r="L16" s="3">
        <f t="shared" si="5"/>
        <v>-1.6050000000000608</v>
      </c>
      <c r="U16" s="1">
        <f>+U14+U15</f>
        <v>-80.814999999999969</v>
      </c>
      <c r="V16" s="1">
        <f>+V14+V15</f>
        <v>-73.818000000000211</v>
      </c>
      <c r="W16" s="1">
        <f>+W14+W15</f>
        <v>-104.69199999999988</v>
      </c>
      <c r="X16" s="1">
        <f>+X14+X15</f>
        <v>2170.2290000000003</v>
      </c>
      <c r="Y16" s="1">
        <f>+Y14+Y15</f>
        <v>1048.1109999999996</v>
      </c>
    </row>
    <row r="17" spans="2:27" x14ac:dyDescent="0.2">
      <c r="B17" s="1" t="s">
        <v>31</v>
      </c>
      <c r="E17" s="3">
        <v>1.748</v>
      </c>
      <c r="F17" s="3">
        <v>2.7440000000000002</v>
      </c>
      <c r="G17" s="3">
        <v>2.4180000000000001</v>
      </c>
      <c r="H17" s="3">
        <v>8.5690000000000008</v>
      </c>
      <c r="I17" s="3">
        <v>0</v>
      </c>
      <c r="J17" s="3">
        <v>4.3600000000000003</v>
      </c>
      <c r="K17" s="3">
        <v>1.786</v>
      </c>
      <c r="L17" s="3">
        <v>11.753</v>
      </c>
      <c r="U17" s="1">
        <v>4.2160000000000002</v>
      </c>
      <c r="V17" s="1">
        <v>4.0190000000000001</v>
      </c>
      <c r="W17" s="1">
        <v>8.0570000000000004</v>
      </c>
      <c r="Y17" s="1">
        <f>SUM(K17:N17)</f>
        <v>13.539</v>
      </c>
    </row>
    <row r="18" spans="2:27" x14ac:dyDescent="0.2">
      <c r="B18" s="1" t="s">
        <v>32</v>
      </c>
      <c r="E18" s="3">
        <f>+E16-E17</f>
        <v>-31.411000000000023</v>
      </c>
      <c r="F18" s="3">
        <f>+F16-F17</f>
        <v>-15.637999999999989</v>
      </c>
      <c r="G18" s="3">
        <f>+G16-G17</f>
        <v>-8.1499999999999631</v>
      </c>
      <c r="H18" s="3">
        <f>+H16-H17</f>
        <v>-47.922999999999988</v>
      </c>
      <c r="I18" s="3">
        <f t="shared" ref="I18:L18" si="6">+I16-I17</f>
        <v>-6.0289999999999466</v>
      </c>
      <c r="J18" s="3">
        <f t="shared" si="6"/>
        <v>-10.060999999999979</v>
      </c>
      <c r="K18" s="3">
        <f t="shared" si="6"/>
        <v>6.7159999999999815</v>
      </c>
      <c r="L18" s="3">
        <f t="shared" si="6"/>
        <v>-13.358000000000061</v>
      </c>
      <c r="U18" s="1">
        <f>+U16-U17</f>
        <v>-85.030999999999963</v>
      </c>
      <c r="V18" s="1">
        <f>+V16-V17</f>
        <v>-77.837000000000216</v>
      </c>
      <c r="W18" s="1">
        <f>+W16-W17</f>
        <v>-112.74899999999988</v>
      </c>
      <c r="X18" s="1">
        <f>+X16-X17</f>
        <v>2170.2290000000003</v>
      </c>
      <c r="Y18" s="1">
        <f>+Y16-Y17</f>
        <v>1034.5719999999997</v>
      </c>
      <c r="Z18" s="1">
        <f>+Y18*1.3</f>
        <v>1344.9435999999996</v>
      </c>
      <c r="AA18" s="1">
        <f>+Z18*1.3</f>
        <v>1748.4266799999996</v>
      </c>
    </row>
    <row r="19" spans="2:27" x14ac:dyDescent="0.2">
      <c r="B19" s="1" t="s">
        <v>33</v>
      </c>
      <c r="E19" s="6">
        <f t="shared" ref="E19:L19" si="7">+E18/E20</f>
        <v>-0.65348367903135252</v>
      </c>
      <c r="F19" s="6">
        <f t="shared" si="7"/>
        <v>-0.32053620841617625</v>
      </c>
      <c r="G19" s="6">
        <f t="shared" si="7"/>
        <v>-0.163974005593223</v>
      </c>
      <c r="H19" s="6">
        <f t="shared" si="7"/>
        <v>-0.96418727239804403</v>
      </c>
      <c r="I19" s="6">
        <f t="shared" si="7"/>
        <v>-0.12045713372360085</v>
      </c>
      <c r="J19" s="6">
        <f t="shared" si="7"/>
        <v>-0.19983315788428266</v>
      </c>
      <c r="K19" s="6">
        <f t="shared" si="7"/>
        <v>0.13041283156627406</v>
      </c>
      <c r="L19" s="6">
        <f t="shared" si="7"/>
        <v>-0.26189589255955414</v>
      </c>
      <c r="U19" s="8">
        <f>+U18/U20</f>
        <v>-1.8998368970216941</v>
      </c>
      <c r="V19" s="8">
        <f>+V18/V20</f>
        <v>-1.6599560683286818</v>
      </c>
      <c r="W19" s="8">
        <f>+W18/W20</f>
        <v>-2.3457609487152791</v>
      </c>
      <c r="X19" s="8">
        <f>+X18/X20</f>
        <v>45.151960886299811</v>
      </c>
      <c r="Y19" s="8">
        <f>+Y18/Y20</f>
        <v>21.524435660043686</v>
      </c>
    </row>
    <row r="20" spans="2:27" s="1" customFormat="1" x14ac:dyDescent="0.2">
      <c r="B20" s="1" t="s">
        <v>1</v>
      </c>
      <c r="C20" s="3"/>
      <c r="D20" s="3"/>
      <c r="E20" s="3">
        <v>48.067</v>
      </c>
      <c r="F20" s="3">
        <v>48.786999999999999</v>
      </c>
      <c r="G20" s="3">
        <v>49.703000000000003</v>
      </c>
      <c r="H20" s="3">
        <v>49.703000000000003</v>
      </c>
      <c r="I20" s="3">
        <v>50.051000000000002</v>
      </c>
      <c r="J20" s="3">
        <v>50.347000000000001</v>
      </c>
      <c r="K20" s="3">
        <v>51.497999999999998</v>
      </c>
      <c r="L20" s="3">
        <v>51.005000000000003</v>
      </c>
      <c r="M20" s="3"/>
      <c r="N20" s="3"/>
      <c r="O20" s="3"/>
      <c r="P20" s="3"/>
      <c r="Q20" s="3"/>
      <c r="R20" s="3"/>
      <c r="U20" s="1">
        <v>44.756999999999998</v>
      </c>
      <c r="V20" s="1">
        <v>46.890999999999998</v>
      </c>
      <c r="W20" s="1">
        <v>48.064999999999998</v>
      </c>
      <c r="X20" s="1">
        <f>+W20</f>
        <v>48.064999999999998</v>
      </c>
      <c r="Y20" s="1">
        <f>+X20</f>
        <v>48.064999999999998</v>
      </c>
    </row>
    <row r="23" spans="2:27" x14ac:dyDescent="0.2">
      <c r="B23" s="1" t="s">
        <v>34</v>
      </c>
      <c r="I23" s="7">
        <f>+I7/E7-1</f>
        <v>0.25587780826114193</v>
      </c>
      <c r="J23" s="7">
        <f>+J7/F7-1</f>
        <v>0.23901647581857421</v>
      </c>
      <c r="K23" s="7">
        <f>+K7/G7-1</f>
        <v>0.2308400781468043</v>
      </c>
      <c r="L23" s="7">
        <f>+L7/H7-1</f>
        <v>0.20427941293197605</v>
      </c>
      <c r="V23" s="9">
        <f>+V7/U7-1</f>
        <v>0.47295549621415445</v>
      </c>
      <c r="W23" s="9">
        <f>+W7/V7-1</f>
        <v>0.33084100509126935</v>
      </c>
      <c r="X23" s="9">
        <f>+X7/W7-1</f>
        <v>0.25376537650298769</v>
      </c>
      <c r="Y23" s="9">
        <f>+Y7/X7-1</f>
        <v>0.21072200214816017</v>
      </c>
    </row>
    <row r="24" spans="2:27" x14ac:dyDescent="0.2">
      <c r="L24" s="7"/>
    </row>
    <row r="26" spans="2:27" x14ac:dyDescent="0.2">
      <c r="K26" s="3"/>
    </row>
    <row r="28" spans="2:27" x14ac:dyDescent="0.2">
      <c r="G28" s="2">
        <v>81.069999999999993</v>
      </c>
      <c r="H28" s="2">
        <f>157.613-G28</f>
        <v>76.543000000000006</v>
      </c>
      <c r="K28" s="2">
        <v>127.08799999999999</v>
      </c>
      <c r="L28" s="2">
        <f>244.916-K28</f>
        <v>117.828</v>
      </c>
    </row>
    <row r="31" spans="2:27" x14ac:dyDescent="0.2">
      <c r="U31" s="1">
        <v>88.912999999999997</v>
      </c>
      <c r="V31" s="1">
        <v>238.72800000000001</v>
      </c>
      <c r="W31" s="1">
        <v>273.17399999999998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2024-10-22T14:46:06Z</dcterms:created>
  <dcterms:modified xsi:type="dcterms:W3CDTF">2025-10-13T13:31:17Z</dcterms:modified>
</cp:coreProperties>
</file>