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8EF3A0E-68FA-4D79-AD7D-4880F9861B6B}" xr6:coauthVersionLast="47" xr6:coauthVersionMax="47" xr10:uidLastSave="{00000000-0000-0000-0000-000000000000}"/>
  <bookViews>
    <workbookView xWindow="4755" yWindow="4755" windowWidth="18075" windowHeight="16020" xr2:uid="{7D8BE515-B55F-4662-8375-1B3B93E8AA4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" l="1"/>
  <c r="M32" i="2" s="1"/>
  <c r="M34" i="2" s="1"/>
  <c r="M36" i="2" s="1"/>
  <c r="M37" i="2" s="1"/>
  <c r="Q31" i="2"/>
  <c r="Q32" i="2" s="1"/>
  <c r="Q34" i="2" s="1"/>
  <c r="Q36" i="2" s="1"/>
  <c r="Q37" i="2" s="1"/>
  <c r="M22" i="2"/>
  <c r="M23" i="2" s="1"/>
  <c r="M27" i="2" s="1"/>
  <c r="Q22" i="2"/>
  <c r="Q23" i="2" s="1"/>
  <c r="Q27" i="2" s="1"/>
  <c r="N6" i="1"/>
  <c r="N5" i="1"/>
  <c r="P62" i="2"/>
  <c r="P61" i="2"/>
  <c r="P58" i="2"/>
  <c r="P44" i="2"/>
  <c r="P54" i="2"/>
  <c r="P48" i="2"/>
  <c r="P46" i="2"/>
  <c r="P45" i="2"/>
  <c r="L33" i="2"/>
  <c r="P33" i="2"/>
  <c r="P31" i="2"/>
  <c r="L31" i="2"/>
  <c r="P27" i="2"/>
  <c r="L27" i="2"/>
  <c r="L23" i="2"/>
  <c r="L40" i="2" s="1"/>
  <c r="P23" i="2"/>
  <c r="W72" i="2"/>
  <c r="V72" i="2"/>
  <c r="U72" i="2"/>
  <c r="W33" i="2"/>
  <c r="V33" i="2"/>
  <c r="U33" i="2"/>
  <c r="W31" i="2"/>
  <c r="V31" i="2"/>
  <c r="U31" i="2"/>
  <c r="W27" i="2"/>
  <c r="V27" i="2"/>
  <c r="U27" i="2"/>
  <c r="W23" i="2"/>
  <c r="V23" i="2"/>
  <c r="U23" i="2"/>
  <c r="V2" i="2"/>
  <c r="W2" i="2" s="1"/>
  <c r="X2" i="2" s="1"/>
  <c r="Y2" i="2" s="1"/>
  <c r="Z2" i="2" s="1"/>
  <c r="AA2" i="2" s="1"/>
  <c r="K72" i="2"/>
  <c r="G72" i="2"/>
  <c r="G35" i="2"/>
  <c r="K35" i="2"/>
  <c r="K33" i="2"/>
  <c r="G33" i="2"/>
  <c r="G31" i="2"/>
  <c r="K31" i="2"/>
  <c r="G27" i="2"/>
  <c r="K27" i="2"/>
  <c r="G23" i="2"/>
  <c r="K23" i="2"/>
  <c r="N4" i="1"/>
  <c r="N7" i="1" s="1"/>
  <c r="P43" i="2" l="1"/>
  <c r="P67" i="2"/>
  <c r="P40" i="2"/>
  <c r="P55" i="2"/>
  <c r="V28" i="2"/>
  <c r="V41" i="2" s="1"/>
  <c r="L28" i="2"/>
  <c r="L41" i="2" s="1"/>
  <c r="P28" i="2"/>
  <c r="P41" i="2" s="1"/>
  <c r="U28" i="2"/>
  <c r="U32" i="2" s="1"/>
  <c r="U34" i="2" s="1"/>
  <c r="U36" i="2" s="1"/>
  <c r="U37" i="2" s="1"/>
  <c r="W28" i="2"/>
  <c r="W32" i="2" s="1"/>
  <c r="W34" i="2" s="1"/>
  <c r="W36" i="2" s="1"/>
  <c r="W37" i="2" s="1"/>
  <c r="V40" i="2"/>
  <c r="W40" i="2"/>
  <c r="K28" i="2"/>
  <c r="K32" i="2" s="1"/>
  <c r="K34" i="2" s="1"/>
  <c r="K36" i="2" s="1"/>
  <c r="K37" i="2" s="1"/>
  <c r="K40" i="2"/>
  <c r="G28" i="2"/>
  <c r="G41" i="2" s="1"/>
  <c r="W41" i="2" l="1"/>
  <c r="U41" i="2"/>
  <c r="V32" i="2"/>
  <c r="V34" i="2" s="1"/>
  <c r="V36" i="2" s="1"/>
  <c r="V37" i="2" s="1"/>
  <c r="P32" i="2"/>
  <c r="P34" i="2" s="1"/>
  <c r="P36" i="2" s="1"/>
  <c r="P37" i="2" s="1"/>
  <c r="L32" i="2"/>
  <c r="L34" i="2" s="1"/>
  <c r="L36" i="2" s="1"/>
  <c r="L37" i="2" s="1"/>
  <c r="K41" i="2"/>
  <c r="G32" i="2"/>
  <c r="G34" i="2" s="1"/>
  <c r="G36" i="2" s="1"/>
  <c r="G37" i="2" s="1"/>
</calcChain>
</file>

<file path=xl/sharedStrings.xml><?xml version="1.0" encoding="utf-8"?>
<sst xmlns="http://schemas.openxmlformats.org/spreadsheetml/2006/main" count="96" uniqueCount="86">
  <si>
    <t>Price</t>
  </si>
  <si>
    <t>Shares</t>
  </si>
  <si>
    <t>MC</t>
  </si>
  <si>
    <t>Cash</t>
  </si>
  <si>
    <t>Debt</t>
  </si>
  <si>
    <t>EV</t>
  </si>
  <si>
    <t>Q123</t>
  </si>
  <si>
    <t>Main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</si>
  <si>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</si>
  <si>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</si>
  <si>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</si>
  <si>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</si>
  <si>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</si>
  <si>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</si>
  <si>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</si>
  <si>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</si>
  <si>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</si>
  <si>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Q223</t>
  </si>
  <si>
    <t>Q323</t>
  </si>
  <si>
    <t>Q423</t>
  </si>
  <si>
    <t>Services</t>
  </si>
  <si>
    <t>Sales</t>
  </si>
  <si>
    <t>Financing</t>
  </si>
  <si>
    <t>CofServices</t>
  </si>
  <si>
    <t>CofSales</t>
  </si>
  <si>
    <t>CofFinancing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</si>
  <si>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</si>
  <si>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</si>
  <si>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</si>
  <si>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</si>
  <si>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</si>
  <si>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</si>
  <si>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</si>
  <si>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</si>
  <si>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Net Income</t>
  </si>
  <si>
    <t>Taxes</t>
  </si>
  <si>
    <t>EPS</t>
  </si>
  <si>
    <t>Revenue y/y</t>
  </si>
  <si>
    <t>GM%</t>
  </si>
  <si>
    <t>CFFO</t>
  </si>
  <si>
    <t>CapEx</t>
  </si>
  <si>
    <t>FCF</t>
  </si>
  <si>
    <t>Hybrid Platform</t>
  </si>
  <si>
    <t>Transaction Processing</t>
  </si>
  <si>
    <t>Business Consulting</t>
  </si>
  <si>
    <t>App Consulting</t>
  </si>
  <si>
    <t>Tech Consulting</t>
  </si>
  <si>
    <t>Hybrid Infrastructure</t>
  </si>
  <si>
    <t>Infrastructure Support</t>
  </si>
  <si>
    <t>Other</t>
  </si>
  <si>
    <t>Q124</t>
  </si>
  <si>
    <t>Q224</t>
  </si>
  <si>
    <t>Q324</t>
  </si>
  <si>
    <t>Q424</t>
  </si>
  <si>
    <t>AR</t>
  </si>
  <si>
    <t>Financing Receivables</t>
  </si>
  <si>
    <t>Inventory</t>
  </si>
  <si>
    <t>Costs</t>
  </si>
  <si>
    <t>Prepaids</t>
  </si>
  <si>
    <t>PP&amp;E</t>
  </si>
  <si>
    <t>ROU</t>
  </si>
  <si>
    <t>Pension</t>
  </si>
  <si>
    <t>DT</t>
  </si>
  <si>
    <t>Goodwill</t>
  </si>
  <si>
    <t>Assets</t>
  </si>
  <si>
    <t>L+SE</t>
  </si>
  <si>
    <t>Equity</t>
  </si>
  <si>
    <t>AP</t>
  </si>
  <si>
    <t>Compensation</t>
  </si>
  <si>
    <t>DR</t>
  </si>
  <si>
    <t>Lease</t>
  </si>
  <si>
    <t>Accrued</t>
  </si>
  <si>
    <t>RPO</t>
  </si>
  <si>
    <t>Net Cash</t>
  </si>
  <si>
    <t>Software</t>
  </si>
  <si>
    <t>Consulting</t>
  </si>
  <si>
    <t>Infrastructure</t>
  </si>
  <si>
    <t>Financing/Other</t>
  </si>
  <si>
    <r>
      <t>Founded:</t>
    </r>
    <r>
      <rPr>
        <sz val="10"/>
        <color theme="1"/>
        <rFont val="Arial"/>
        <family val="2"/>
      </rPr>
      <t xml:space="preserve"> 1911</t>
    </r>
  </si>
  <si>
    <t>HQ:Armonk, New York, USA.</t>
  </si>
  <si>
    <t>Core segments</t>
  </si>
  <si>
    <r>
      <t>Software</t>
    </r>
    <r>
      <rPr>
        <sz val="10"/>
        <color theme="1"/>
        <rFont val="Arial"/>
        <family val="2"/>
      </rPr>
      <t xml:space="preserve"> – Red Hat OpenShift &amp; Ansible, data &amp; AI (Watsonx), automation, security, hybrid cloud management.</t>
    </r>
  </si>
  <si>
    <r>
      <t>Consulting</t>
    </r>
    <r>
      <rPr>
        <sz val="10"/>
        <color theme="1"/>
        <rFont val="Arial"/>
        <family val="2"/>
      </rPr>
      <t xml:space="preserve"> – digital transformation, cloud migration, and AI strategy for enterprise clients.</t>
    </r>
  </si>
  <si>
    <r>
      <t>Infrastructure</t>
    </r>
    <r>
      <rPr>
        <sz val="10"/>
        <color theme="1"/>
        <rFont val="Arial"/>
        <family val="2"/>
      </rPr>
      <t xml:space="preserve"> – IBM Z mainframes, Power Systems, storage solutions, hybrid infrastructure services.</t>
    </r>
  </si>
  <si>
    <r>
      <t>Financing</t>
    </r>
    <r>
      <rPr>
        <sz val="10"/>
        <color theme="1"/>
        <rFont val="Arial"/>
        <family val="2"/>
      </rPr>
      <t xml:space="preserve"> – IT leasing and integrated financing support for IBM clients.</t>
    </r>
  </si>
  <si>
    <t>Acquired HashiCorp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</si>
</sst>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0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497C0C5-FF39-478D-B445-E4B18F4AF9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18192</xdr:colOff>
      <xdr:row>0</xdr:row>
      <xdr:rowOff>0</xdr:rowOff>
    </xdr:from>
    <xdr:to>
      <xdr:col>17</xdr:col>
      <xdr:colOff>18192</xdr:colOff>
      <xdr:row>96</xdr:row>
      <xdr:rowOff>141486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89B7FA-E0F9-80C9-B2DF-8808E8BEC483}"/>
            </a:ext>
          </a:extLst>
        </xdr:cNvPr>
        <xdr:cNvCxnSpPr/>
      </xdr:nvCxnSpPr>
      <xdr:spPr>
        <a:xfrm>
          <a:off x="10957288" y="0"/>
          <a:ext cx="0" cy="14809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7326</xdr:colOff>
      <xdr:row>0</xdr:row>
      <xdr:rowOff>65942</xdr:rowOff>
    </xdr:from>
    <xdr:to>
      <xdr:col>23</xdr:col>
      <xdr:colOff>7326</xdr:colOff>
      <xdr:row>86</xdr:row>
      <xdr:rowOff>43962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4D3747B-D1B5-2A5D-B86C-8FCA54AD2B2F}"/>
            </a:ext>
          </a:extLst>
        </xdr:cNvPr>
        <xdr:cNvCxnSpPr/>
      </xdr:nvCxnSpPr>
      <xdr:spPr>
        <a:xfrm>
          <a:off x="24054288" y="65942"/>
          <a:ext cx="0" cy="73928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D095-2AEF-4639-8AAD-34B652349C66}">
  <dimension ref="B2:O11"/>
  <sheetViews>
    <sheetView tabSelected="1" zoomScaleNormal="100" workbookViewId="0">
      <selection activeCell="O7" sqref="O7"/>
    </sheetView>
  </sheetViews>
  <sheetFormatPr defaultRowHeight="12.75" x14ac:dyDescent="0.2"/>
  <sheetData>
    <row r="2" spans="2:15" x14ac:dyDescent="0.2">
      <c r="M2" t="s">
        <v>0</v>
      </c>
      <c r="N2" s="1">
        <v>228</v>
      </c>
    </row>
    <row r="3" spans="2:15" x14ac:dyDescent="0.2">
      <c r="B3" s="12" t="s">
        <v>80</v>
      </c>
      <c r="M3" t="s">
        <v>1</v>
      </c>
      <c r="N3" s="2">
        <v>920</v>
      </c>
      <c r="O3" s="3" t="s">
        <v>51</v>
      </c>
    </row>
    <row r="4" spans="2:15" x14ac:dyDescent="0.2">
      <c r="M4" t="s">
        <v>2</v>
      </c>
      <c r="N4" s="2">
        <f>N2*N3</f>
        <v>209760</v>
      </c>
    </row>
    <row r="5" spans="2:15" x14ac:dyDescent="0.2">
      <c r="B5" s="11" t="s">
        <v>81</v>
      </c>
      <c r="M5" t="s">
        <v>3</v>
      </c>
      <c r="N5" s="2">
        <f>12210+2268+1481+1840</f>
        <v>17799</v>
      </c>
      <c r="O5" s="3" t="s">
        <v>51</v>
      </c>
    </row>
    <row r="6" spans="2:15" x14ac:dyDescent="0.2">
      <c r="B6" s="11" t="s">
        <v>82</v>
      </c>
      <c r="M6" t="s">
        <v>4</v>
      </c>
      <c r="N6" s="2">
        <f>3602+52929</f>
        <v>56531</v>
      </c>
      <c r="O6" s="3" t="s">
        <v>51</v>
      </c>
    </row>
    <row r="7" spans="2:15" x14ac:dyDescent="0.2">
      <c r="B7" s="11" t="s">
        <v>83</v>
      </c>
      <c r="M7" t="s">
        <v>5</v>
      </c>
      <c r="N7" s="2">
        <f>N4-N5+N6</f>
        <v>248492</v>
      </c>
    </row>
    <row r="8" spans="2:15" x14ac:dyDescent="0.2">
      <c r="B8" s="11" t="s">
        <v>84</v>
      </c>
    </row>
    <row r="9" spans="2:15" x14ac:dyDescent="0.2">
      <c r="M9" s="11" t="s">
        <v>78</v>
      </c>
    </row>
    <row r="10" spans="2:15" x14ac:dyDescent="0.2">
      <c r="M10" s="11" t="s">
        <v>79</v>
      </c>
    </row>
    <row r="11" spans="2:15" x14ac:dyDescent="0.2">
      <c r="M1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68D1-0434-4598-89CF-70D15ABD98C6}">
  <dimension ref="A1:AA72"/>
  <sheetViews>
    <sheetView zoomScaleNormal="1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W40" sqref="W40"/>
    </sheetView>
  </sheetViews>
  <sheetFormatPr defaultRowHeight="12.75" x14ac:dyDescent="0.2"/>
  <cols>
    <col min="1" max="1" width="5" bestFit="1" customWidth="1"/>
    <col min="2" max="2" width="22.140625" customWidth="1"/>
    <col min="3" max="11" width="9.140625" style="3"/>
  </cols>
  <sheetData>
    <row r="1" spans="1:27" x14ac:dyDescent="0.2">
      <c r="A1" s="4" t="s">
        <v>7</v>
      </c>
    </row>
    <row r="2" spans="1:27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50</v>
      </c>
      <c r="P2" s="3" t="s">
        <v>51</v>
      </c>
      <c r="Q2" s="3" t="s">
        <v>52</v>
      </c>
      <c r="R2" s="3" t="s">
        <v>53</v>
      </c>
      <c r="S2" s="3"/>
      <c r="T2" s="3"/>
      <c r="U2">
        <v>2020</v>
      </c>
      <c r="V2">
        <f t="shared" ref="V2:AA2" si="0">U2+1</f>
        <v>2021</v>
      </c>
      <c r="W2">
        <f t="shared" si="0"/>
        <v>2022</v>
      </c>
      <c r="X2">
        <f t="shared" si="0"/>
        <v>2023</v>
      </c>
      <c r="Y2">
        <f t="shared" si="0"/>
        <v>2024</v>
      </c>
      <c r="Z2">
        <f t="shared" si="0"/>
        <v>2025</v>
      </c>
      <c r="AA2">
        <f t="shared" si="0"/>
        <v>2026</v>
      </c>
    </row>
    <row r="3" spans="1:27" s="2" customFormat="1" x14ac:dyDescent="0.2">
      <c r="B3" s="2" t="s">
        <v>72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>
        <v>56000</v>
      </c>
      <c r="Q3" s="5"/>
      <c r="R3" s="5"/>
      <c r="S3" s="5"/>
      <c r="T3" s="5"/>
    </row>
    <row r="4" spans="1:27" x14ac:dyDescent="0.2">
      <c r="L4" s="3"/>
      <c r="M4" s="3"/>
      <c r="N4" s="3"/>
      <c r="O4" s="3"/>
      <c r="P4" s="3"/>
      <c r="Q4" s="3"/>
      <c r="R4" s="3"/>
      <c r="S4" s="3"/>
      <c r="T4" s="3"/>
    </row>
    <row r="5" spans="1:27" s="2" customFormat="1" x14ac:dyDescent="0.2">
      <c r="B5" s="6" t="s">
        <v>42</v>
      </c>
      <c r="C5" s="7"/>
      <c r="D5" s="7"/>
      <c r="E5" s="5"/>
      <c r="F5" s="5"/>
      <c r="G5" s="5">
        <v>4080</v>
      </c>
      <c r="H5" s="5"/>
      <c r="I5" s="5"/>
      <c r="J5" s="5"/>
      <c r="K5" s="5">
        <v>4179</v>
      </c>
      <c r="L5" s="5">
        <v>4350</v>
      </c>
      <c r="M5" s="5"/>
      <c r="N5" s="5"/>
      <c r="O5" s="5"/>
      <c r="P5" s="5">
        <v>4575</v>
      </c>
      <c r="Q5" s="5"/>
      <c r="R5" s="5"/>
      <c r="S5" s="5"/>
      <c r="T5" s="5"/>
    </row>
    <row r="6" spans="1:27" s="2" customFormat="1" x14ac:dyDescent="0.2">
      <c r="B6" s="6" t="s">
        <v>43</v>
      </c>
      <c r="C6" s="7"/>
      <c r="D6" s="7"/>
      <c r="E6" s="5"/>
      <c r="F6" s="5"/>
      <c r="G6" s="5">
        <v>1692</v>
      </c>
      <c r="H6" s="5"/>
      <c r="I6" s="5"/>
      <c r="J6" s="5"/>
      <c r="K6" s="5">
        <v>1742</v>
      </c>
      <c r="L6" s="5">
        <v>1943</v>
      </c>
      <c r="M6" s="5"/>
      <c r="N6" s="5"/>
      <c r="O6" s="5"/>
      <c r="P6" s="5">
        <v>2164</v>
      </c>
      <c r="Q6" s="5"/>
      <c r="R6" s="5"/>
      <c r="S6" s="5"/>
      <c r="T6" s="5"/>
    </row>
    <row r="7" spans="1:27" s="2" customFormat="1" x14ac:dyDescent="0.2">
      <c r="B7" s="2" t="s">
        <v>44</v>
      </c>
      <c r="C7" s="5"/>
      <c r="D7" s="5"/>
      <c r="E7" s="5"/>
      <c r="F7" s="5"/>
      <c r="G7" s="5">
        <v>2255</v>
      </c>
      <c r="H7" s="5"/>
      <c r="I7" s="5"/>
      <c r="J7" s="5"/>
      <c r="K7" s="5">
        <v>2283</v>
      </c>
      <c r="L7" s="5">
        <v>2295</v>
      </c>
      <c r="M7" s="5"/>
      <c r="N7" s="5"/>
      <c r="O7" s="5"/>
      <c r="P7" s="5">
        <v>2360</v>
      </c>
      <c r="Q7" s="5"/>
      <c r="R7" s="5"/>
      <c r="S7" s="5"/>
      <c r="T7" s="5"/>
    </row>
    <row r="8" spans="1:27" s="2" customFormat="1" x14ac:dyDescent="0.2">
      <c r="B8" s="2" t="s">
        <v>45</v>
      </c>
      <c r="C8" s="5"/>
      <c r="D8" s="5"/>
      <c r="E8" s="5"/>
      <c r="F8" s="5"/>
      <c r="G8" s="5">
        <v>1619</v>
      </c>
      <c r="H8" s="5"/>
      <c r="I8" s="5"/>
      <c r="J8" s="5"/>
      <c r="K8" s="5">
        <v>1736</v>
      </c>
      <c r="L8" s="5">
        <v>1991</v>
      </c>
      <c r="M8" s="5"/>
      <c r="N8" s="5"/>
      <c r="O8" s="5"/>
      <c r="P8" s="5">
        <v>1902</v>
      </c>
      <c r="Q8" s="5"/>
      <c r="R8" s="5"/>
      <c r="S8" s="5"/>
      <c r="T8" s="5"/>
    </row>
    <row r="9" spans="1:27" s="2" customFormat="1" x14ac:dyDescent="0.2">
      <c r="B9" s="2" t="s">
        <v>46</v>
      </c>
      <c r="C9" s="5"/>
      <c r="D9" s="5"/>
      <c r="E9" s="5"/>
      <c r="F9" s="5"/>
      <c r="G9" s="5">
        <v>955</v>
      </c>
      <c r="H9" s="5"/>
      <c r="I9" s="5"/>
      <c r="J9" s="5"/>
      <c r="K9" s="5">
        <v>943</v>
      </c>
      <c r="L9" s="5">
        <v>941</v>
      </c>
      <c r="M9" s="5"/>
      <c r="N9" s="5"/>
      <c r="O9" s="5"/>
      <c r="P9" s="5">
        <v>917</v>
      </c>
      <c r="Q9" s="5"/>
      <c r="R9" s="5"/>
      <c r="S9" s="5"/>
      <c r="T9" s="5"/>
    </row>
    <row r="10" spans="1:27" s="2" customFormat="1" x14ac:dyDescent="0.2">
      <c r="B10" s="2" t="s">
        <v>47</v>
      </c>
      <c r="C10" s="5"/>
      <c r="D10" s="5"/>
      <c r="E10" s="5"/>
      <c r="F10" s="5"/>
      <c r="G10" s="5">
        <v>1700</v>
      </c>
      <c r="H10" s="5"/>
      <c r="I10" s="5"/>
      <c r="J10" s="5"/>
      <c r="K10" s="5">
        <v>1709</v>
      </c>
      <c r="L10" s="5">
        <v>2260</v>
      </c>
      <c r="M10" s="5"/>
      <c r="N10" s="5"/>
      <c r="O10" s="5"/>
      <c r="P10" s="5">
        <v>2360</v>
      </c>
      <c r="Q10" s="5"/>
      <c r="R10" s="5"/>
      <c r="S10" s="5"/>
      <c r="T10" s="5"/>
    </row>
    <row r="11" spans="1:27" s="2" customFormat="1" x14ac:dyDescent="0.2">
      <c r="B11" s="2" t="s">
        <v>48</v>
      </c>
      <c r="C11" s="5"/>
      <c r="D11" s="5"/>
      <c r="E11" s="5"/>
      <c r="F11" s="5"/>
      <c r="G11" s="5">
        <v>1519</v>
      </c>
      <c r="H11" s="5"/>
      <c r="I11" s="5"/>
      <c r="J11" s="5"/>
      <c r="K11" s="5">
        <v>1389</v>
      </c>
      <c r="L11" s="5">
        <v>1358</v>
      </c>
      <c r="M11" s="5"/>
      <c r="N11" s="5"/>
      <c r="O11" s="5"/>
      <c r="P11" s="5">
        <v>1285</v>
      </c>
      <c r="Q11" s="5"/>
      <c r="R11" s="5"/>
      <c r="S11" s="5"/>
      <c r="T11" s="5"/>
    </row>
    <row r="12" spans="1:27" s="2" customFormat="1" x14ac:dyDescent="0.2">
      <c r="B12" s="2" t="s">
        <v>22</v>
      </c>
      <c r="C12" s="5"/>
      <c r="D12" s="5"/>
      <c r="E12" s="5"/>
      <c r="F12" s="5"/>
      <c r="G12" s="5">
        <v>154</v>
      </c>
      <c r="H12" s="5"/>
      <c r="I12" s="5"/>
      <c r="J12" s="5"/>
      <c r="K12" s="5">
        <v>196</v>
      </c>
      <c r="L12" s="5">
        <v>185</v>
      </c>
      <c r="M12" s="5"/>
      <c r="N12" s="5"/>
      <c r="O12" s="5"/>
      <c r="P12" s="5">
        <v>169</v>
      </c>
      <c r="Q12" s="5"/>
      <c r="R12" s="5"/>
      <c r="S12" s="5"/>
      <c r="T12" s="5"/>
    </row>
    <row r="13" spans="1:27" s="2" customFormat="1" x14ac:dyDescent="0.2">
      <c r="B13" s="2" t="s">
        <v>49</v>
      </c>
      <c r="C13" s="5"/>
      <c r="D13" s="5"/>
      <c r="E13" s="5"/>
      <c r="F13" s="5"/>
      <c r="G13" s="5">
        <v>224</v>
      </c>
      <c r="H13" s="5"/>
      <c r="I13" s="5"/>
      <c r="J13" s="5"/>
      <c r="K13" s="5">
        <v>75</v>
      </c>
      <c r="L13" s="5">
        <v>152</v>
      </c>
      <c r="M13" s="5"/>
      <c r="N13" s="5"/>
      <c r="O13" s="5"/>
      <c r="P13" s="5">
        <v>38</v>
      </c>
      <c r="Q13" s="5"/>
      <c r="R13" s="5"/>
      <c r="S13" s="5"/>
      <c r="T13" s="5"/>
    </row>
    <row r="14" spans="1:27" x14ac:dyDescent="0.2">
      <c r="L14" s="3"/>
      <c r="M14" s="3"/>
      <c r="N14" s="3"/>
      <c r="O14" s="3"/>
      <c r="P14" s="3"/>
      <c r="Q14" s="3"/>
      <c r="R14" s="3"/>
      <c r="S14" s="3"/>
      <c r="T14" s="3"/>
    </row>
    <row r="15" spans="1:27" s="2" customFormat="1" x14ac:dyDescent="0.2">
      <c r="B15" s="2" t="s">
        <v>20</v>
      </c>
      <c r="C15" s="5"/>
      <c r="D15" s="5"/>
      <c r="E15" s="5"/>
      <c r="F15" s="5"/>
      <c r="G15" s="5">
        <v>7703</v>
      </c>
      <c r="H15" s="5"/>
      <c r="I15" s="5"/>
      <c r="J15" s="5"/>
      <c r="K15" s="5">
        <v>7524</v>
      </c>
      <c r="L15" s="5">
        <v>7553</v>
      </c>
      <c r="P15" s="2">
        <v>7405</v>
      </c>
      <c r="U15" s="2">
        <v>27626</v>
      </c>
      <c r="V15" s="2">
        <v>29225</v>
      </c>
      <c r="W15" s="2">
        <v>30206</v>
      </c>
    </row>
    <row r="16" spans="1:27" s="2" customFormat="1" x14ac:dyDescent="0.2">
      <c r="B16" s="2" t="s">
        <v>21</v>
      </c>
      <c r="C16" s="5"/>
      <c r="D16" s="5"/>
      <c r="E16" s="5"/>
      <c r="F16" s="5"/>
      <c r="G16" s="5">
        <v>6339</v>
      </c>
      <c r="H16" s="5"/>
      <c r="I16" s="5"/>
      <c r="J16" s="5"/>
      <c r="K16" s="5">
        <v>6532</v>
      </c>
      <c r="L16" s="5">
        <v>7739</v>
      </c>
      <c r="P16" s="2">
        <v>8195</v>
      </c>
      <c r="U16" s="2">
        <v>26569</v>
      </c>
      <c r="V16" s="2">
        <v>27346</v>
      </c>
      <c r="W16" s="2">
        <v>29673</v>
      </c>
    </row>
    <row r="17" spans="2:23" s="2" customFormat="1" x14ac:dyDescent="0.2">
      <c r="B17" s="2" t="s">
        <v>22</v>
      </c>
      <c r="C17" s="5"/>
      <c r="D17" s="5"/>
      <c r="E17" s="5"/>
      <c r="F17" s="5"/>
      <c r="G17" s="5">
        <v>155</v>
      </c>
      <c r="H17" s="5"/>
      <c r="I17" s="5"/>
      <c r="J17" s="5"/>
      <c r="K17" s="5">
        <v>196</v>
      </c>
      <c r="L17" s="5">
        <v>183</v>
      </c>
      <c r="P17" s="2">
        <v>169</v>
      </c>
      <c r="U17" s="2">
        <v>984</v>
      </c>
      <c r="V17" s="2">
        <v>780</v>
      </c>
      <c r="W17" s="2">
        <v>651</v>
      </c>
    </row>
    <row r="18" spans="2:23" s="2" customFormat="1" x14ac:dyDescent="0.2"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23" s="2" customFormat="1" x14ac:dyDescent="0.2">
      <c r="B19" s="2" t="s">
        <v>74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5947</v>
      </c>
      <c r="Q19" s="2">
        <v>6524</v>
      </c>
    </row>
    <row r="20" spans="2:23" s="2" customFormat="1" x14ac:dyDescent="0.2">
      <c r="B20" s="2" t="s">
        <v>75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2">
        <v>5178</v>
      </c>
      <c r="Q20" s="2">
        <v>5152</v>
      </c>
    </row>
    <row r="21" spans="2:23" s="2" customFormat="1" x14ac:dyDescent="0.2">
      <c r="B21" s="2" t="s">
        <v>76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2">
        <v>3272</v>
      </c>
      <c r="Q21" s="2">
        <v>3042</v>
      </c>
    </row>
    <row r="22" spans="2:23" s="2" customFormat="1" x14ac:dyDescent="0.2">
      <c r="B22" s="2" t="s">
        <v>77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f>186+170</f>
        <v>356</v>
      </c>
      <c r="Q22" s="2">
        <f>181+68</f>
        <v>249</v>
      </c>
    </row>
    <row r="23" spans="2:23" s="6" customFormat="1" x14ac:dyDescent="0.2">
      <c r="B23" s="6" t="s">
        <v>8</v>
      </c>
      <c r="C23" s="7"/>
      <c r="D23" s="7"/>
      <c r="E23" s="5"/>
      <c r="F23" s="7"/>
      <c r="G23" s="7">
        <f>SUM(G15:G17)</f>
        <v>14197</v>
      </c>
      <c r="H23" s="7"/>
      <c r="I23" s="7"/>
      <c r="J23" s="7"/>
      <c r="K23" s="7">
        <f>SUM(K15:K17)</f>
        <v>14252</v>
      </c>
      <c r="L23" s="7">
        <f>SUM(L15:L17)</f>
        <v>15475</v>
      </c>
      <c r="M23" s="6">
        <f>SUM(M19:M22)</f>
        <v>14753</v>
      </c>
      <c r="P23" s="6">
        <f>SUM(P15:P17)</f>
        <v>15769</v>
      </c>
      <c r="Q23" s="6">
        <f>SUM(Q19:Q22)</f>
        <v>14967</v>
      </c>
      <c r="U23" s="6">
        <f>SUM(U15:U17)</f>
        <v>55179</v>
      </c>
      <c r="V23" s="6">
        <f>SUM(V15:V17)</f>
        <v>57351</v>
      </c>
      <c r="W23" s="6">
        <f>SUM(W15:W17)</f>
        <v>60530</v>
      </c>
    </row>
    <row r="24" spans="2:23" x14ac:dyDescent="0.2">
      <c r="B24" s="2" t="s">
        <v>23</v>
      </c>
      <c r="G24" s="5">
        <v>5349</v>
      </c>
      <c r="K24" s="5">
        <v>5310</v>
      </c>
      <c r="L24" s="5">
        <v>5294</v>
      </c>
      <c r="P24" s="2">
        <v>5126</v>
      </c>
      <c r="U24" s="2">
        <v>17689</v>
      </c>
      <c r="V24" s="2">
        <v>19147</v>
      </c>
      <c r="W24" s="2">
        <v>21062</v>
      </c>
    </row>
    <row r="25" spans="2:23" x14ac:dyDescent="0.2">
      <c r="B25" s="2" t="s">
        <v>24</v>
      </c>
      <c r="G25" s="5">
        <v>1415</v>
      </c>
      <c r="K25" s="5">
        <v>1322</v>
      </c>
      <c r="L25" s="5">
        <v>1587</v>
      </c>
      <c r="P25" s="2">
        <v>1607</v>
      </c>
      <c r="U25" s="2">
        <v>6048</v>
      </c>
      <c r="V25" s="2">
        <v>6184</v>
      </c>
      <c r="W25" s="2">
        <v>6374</v>
      </c>
    </row>
    <row r="26" spans="2:23" x14ac:dyDescent="0.2">
      <c r="B26" s="2" t="s">
        <v>25</v>
      </c>
      <c r="G26" s="5">
        <v>98</v>
      </c>
      <c r="K26" s="5">
        <v>110</v>
      </c>
      <c r="L26" s="5">
        <v>93</v>
      </c>
      <c r="P26" s="2">
        <v>86</v>
      </c>
      <c r="U26" s="2">
        <v>577</v>
      </c>
      <c r="V26" s="2">
        <v>534</v>
      </c>
      <c r="W26" s="2">
        <v>406</v>
      </c>
    </row>
    <row r="27" spans="2:23" x14ac:dyDescent="0.2">
      <c r="B27" s="2" t="s">
        <v>26</v>
      </c>
      <c r="G27" s="5">
        <f>SUM(G24:G26)</f>
        <v>6862</v>
      </c>
      <c r="K27" s="5">
        <f>SUM(K24:K26)</f>
        <v>6742</v>
      </c>
      <c r="L27" s="5">
        <f>SUM(L24:L26)</f>
        <v>6974</v>
      </c>
      <c r="M27" s="5">
        <f>+M23-M28</f>
        <v>6730</v>
      </c>
      <c r="P27" s="5">
        <f>SUM(P24:P26)</f>
        <v>6819</v>
      </c>
      <c r="Q27" s="5">
        <f>+Q23-Q28</f>
        <v>6547</v>
      </c>
      <c r="U27" s="2">
        <f>SUM(U24:U26)</f>
        <v>24314</v>
      </c>
      <c r="V27" s="2">
        <f>SUM(V24:V26)</f>
        <v>25865</v>
      </c>
      <c r="W27" s="2">
        <f>SUM(W24:W26)</f>
        <v>27842</v>
      </c>
    </row>
    <row r="28" spans="2:23" x14ac:dyDescent="0.2">
      <c r="B28" s="2" t="s">
        <v>27</v>
      </c>
      <c r="G28" s="5">
        <f>G23-G27</f>
        <v>7335</v>
      </c>
      <c r="K28" s="5">
        <f>K23-K27</f>
        <v>7510</v>
      </c>
      <c r="L28" s="5">
        <f>L23-L27</f>
        <v>8501</v>
      </c>
      <c r="M28" s="5">
        <v>8023</v>
      </c>
      <c r="P28" s="5">
        <f>P23-P27</f>
        <v>8950</v>
      </c>
      <c r="Q28" s="5">
        <v>8420</v>
      </c>
      <c r="U28" s="2">
        <f>U23-U27</f>
        <v>30865</v>
      </c>
      <c r="V28" s="2">
        <f>V23-V27</f>
        <v>31486</v>
      </c>
      <c r="W28" s="2">
        <f>W23-W27</f>
        <v>32688</v>
      </c>
    </row>
    <row r="29" spans="2:23" x14ac:dyDescent="0.2">
      <c r="B29" s="2" t="s">
        <v>28</v>
      </c>
      <c r="G29" s="5">
        <v>4597</v>
      </c>
      <c r="K29" s="5">
        <v>4853</v>
      </c>
      <c r="L29" s="5">
        <v>4900</v>
      </c>
      <c r="M29" s="5">
        <v>4458</v>
      </c>
      <c r="P29" s="2">
        <v>4938</v>
      </c>
      <c r="Q29" s="2">
        <v>4911</v>
      </c>
      <c r="U29" s="2">
        <v>20561</v>
      </c>
      <c r="V29" s="2">
        <v>18745</v>
      </c>
      <c r="W29" s="2">
        <v>18609</v>
      </c>
    </row>
    <row r="30" spans="2:23" x14ac:dyDescent="0.2">
      <c r="B30" s="2" t="s">
        <v>29</v>
      </c>
      <c r="G30" s="5">
        <v>1679</v>
      </c>
      <c r="K30" s="5">
        <v>1655</v>
      </c>
      <c r="L30" s="5">
        <v>1687</v>
      </c>
      <c r="M30" s="5">
        <v>1685</v>
      </c>
      <c r="P30" s="2">
        <v>1840</v>
      </c>
      <c r="Q30" s="2">
        <v>1876</v>
      </c>
      <c r="U30" s="2">
        <v>6262</v>
      </c>
      <c r="V30" s="2">
        <v>6488</v>
      </c>
      <c r="W30" s="2">
        <v>6567</v>
      </c>
    </row>
    <row r="31" spans="2:23" x14ac:dyDescent="0.2">
      <c r="B31" s="2" t="s">
        <v>30</v>
      </c>
      <c r="G31" s="5">
        <f>G29+G30</f>
        <v>6276</v>
      </c>
      <c r="K31" s="5">
        <f>K29+K30</f>
        <v>6508</v>
      </c>
      <c r="L31" s="5">
        <f>L29+L30</f>
        <v>6587</v>
      </c>
      <c r="M31" s="5">
        <f>M29+M30</f>
        <v>6143</v>
      </c>
      <c r="P31" s="5">
        <f>P29+P30</f>
        <v>6778</v>
      </c>
      <c r="Q31" s="5">
        <f>Q29+Q30</f>
        <v>6787</v>
      </c>
      <c r="U31" s="2">
        <f>U29+U30</f>
        <v>26823</v>
      </c>
      <c r="V31" s="2">
        <f>V29+V30</f>
        <v>25233</v>
      </c>
      <c r="W31" s="2">
        <f>W29+W30</f>
        <v>25176</v>
      </c>
    </row>
    <row r="32" spans="2:23" x14ac:dyDescent="0.2">
      <c r="B32" s="2" t="s">
        <v>31</v>
      </c>
      <c r="G32" s="5">
        <f>G28-G31</f>
        <v>1059</v>
      </c>
      <c r="K32" s="5">
        <f>K28-K31</f>
        <v>1002</v>
      </c>
      <c r="L32" s="5">
        <f>L28-L31</f>
        <v>1914</v>
      </c>
      <c r="M32" s="5">
        <f>M28-M31</f>
        <v>1880</v>
      </c>
      <c r="P32" s="5">
        <f>P28-P31</f>
        <v>2172</v>
      </c>
      <c r="Q32" s="5">
        <f>Q28-Q31</f>
        <v>1633</v>
      </c>
      <c r="U32" s="2">
        <f>U28-U31</f>
        <v>4042</v>
      </c>
      <c r="V32" s="2">
        <f>V28-V31</f>
        <v>6253</v>
      </c>
      <c r="W32" s="2">
        <f>W28-W31</f>
        <v>7512</v>
      </c>
    </row>
    <row r="33" spans="2:23" x14ac:dyDescent="0.2">
      <c r="B33" s="2" t="s">
        <v>32</v>
      </c>
      <c r="G33" s="3">
        <f>-246-311+121</f>
        <v>-436</v>
      </c>
      <c r="K33" s="3">
        <f>245-367+180</f>
        <v>58</v>
      </c>
      <c r="L33">
        <f>248+261-423</f>
        <v>86</v>
      </c>
      <c r="M33" s="5">
        <v>-412</v>
      </c>
      <c r="P33">
        <f>241+233-427</f>
        <v>47</v>
      </c>
      <c r="Q33" s="5">
        <v>-429</v>
      </c>
      <c r="U33">
        <f>620-1288</f>
        <v>-668</v>
      </c>
      <c r="V33">
        <f>612-1155</f>
        <v>-543</v>
      </c>
      <c r="W33">
        <f>663-1216</f>
        <v>-553</v>
      </c>
    </row>
    <row r="34" spans="2:23" x14ac:dyDescent="0.2">
      <c r="B34" s="2" t="s">
        <v>33</v>
      </c>
      <c r="G34" s="5">
        <f>G32+G33</f>
        <v>623</v>
      </c>
      <c r="K34" s="5">
        <f>K32+K33</f>
        <v>1060</v>
      </c>
      <c r="L34" s="5">
        <f>L32+L33</f>
        <v>2000</v>
      </c>
      <c r="M34" s="5">
        <f>M32+M33</f>
        <v>1468</v>
      </c>
      <c r="P34" s="5">
        <f>P32+P33</f>
        <v>2219</v>
      </c>
      <c r="Q34" s="5">
        <f>Q32+Q33</f>
        <v>1204</v>
      </c>
      <c r="U34" s="2">
        <f>U32+U33</f>
        <v>3374</v>
      </c>
      <c r="V34" s="2">
        <f>V32+V33</f>
        <v>5710</v>
      </c>
      <c r="W34" s="2">
        <f>W32+W33</f>
        <v>6959</v>
      </c>
    </row>
    <row r="35" spans="2:23" x14ac:dyDescent="0.2">
      <c r="B35" s="2" t="s">
        <v>35</v>
      </c>
      <c r="G35" s="3">
        <f>-39-71</f>
        <v>-110</v>
      </c>
      <c r="K35" s="3">
        <f>124+7</f>
        <v>131</v>
      </c>
      <c r="L35">
        <v>419</v>
      </c>
      <c r="M35">
        <v>159</v>
      </c>
      <c r="P35">
        <v>389</v>
      </c>
      <c r="Q35">
        <v>0</v>
      </c>
      <c r="U35">
        <v>0</v>
      </c>
      <c r="V35">
        <v>124</v>
      </c>
      <c r="W35">
        <v>0</v>
      </c>
    </row>
    <row r="36" spans="2:23" x14ac:dyDescent="0.2">
      <c r="B36" s="2" t="s">
        <v>34</v>
      </c>
      <c r="G36" s="5">
        <f>G34-G35</f>
        <v>733</v>
      </c>
      <c r="K36" s="5">
        <f>K34-K35</f>
        <v>929</v>
      </c>
      <c r="L36" s="2">
        <f>+L34-L35</f>
        <v>1581</v>
      </c>
      <c r="M36" s="2">
        <f>+M34-M35</f>
        <v>1309</v>
      </c>
      <c r="P36" s="2">
        <f>+P34-P35</f>
        <v>1830</v>
      </c>
      <c r="Q36" s="2">
        <f>+Q34-Q35</f>
        <v>1204</v>
      </c>
      <c r="U36" s="2">
        <f>U34-U35</f>
        <v>3374</v>
      </c>
      <c r="V36" s="2">
        <f>V34-V35</f>
        <v>5586</v>
      </c>
      <c r="W36" s="2">
        <f>W34-W35</f>
        <v>6959</v>
      </c>
    </row>
    <row r="37" spans="2:23" x14ac:dyDescent="0.2">
      <c r="B37" s="2" t="s">
        <v>36</v>
      </c>
      <c r="G37" s="8">
        <f>G36/G38</f>
        <v>0.81507839430668305</v>
      </c>
      <c r="K37" s="8">
        <f>K36/K38</f>
        <v>1.0236914600550964</v>
      </c>
      <c r="L37" s="8">
        <f>L36/L38</f>
        <v>1.7375535773161885</v>
      </c>
      <c r="M37" s="8">
        <f>M36/M38</f>
        <v>1.4340490797546013</v>
      </c>
      <c r="P37" s="8">
        <f>P36/P38</f>
        <v>1.9884820167336739</v>
      </c>
      <c r="Q37" s="8">
        <f>Q36/Q38</f>
        <v>1.3035946297098311</v>
      </c>
      <c r="U37" s="1">
        <f>U36/U38</f>
        <v>3.7895294873465208</v>
      </c>
      <c r="V37" s="1">
        <f>V36/V38</f>
        <v>6.2344445808546967</v>
      </c>
      <c r="W37" s="1">
        <f>W36/W38</f>
        <v>7.7094023911444349</v>
      </c>
    </row>
    <row r="38" spans="2:23" x14ac:dyDescent="0.2">
      <c r="B38" s="2" t="s">
        <v>1</v>
      </c>
      <c r="G38" s="5">
        <v>899.3</v>
      </c>
      <c r="H38" s="5"/>
      <c r="I38" s="5"/>
      <c r="J38" s="5"/>
      <c r="K38" s="5">
        <v>907.5</v>
      </c>
      <c r="L38" s="5">
        <v>909.9</v>
      </c>
      <c r="M38" s="5">
        <v>912.8</v>
      </c>
      <c r="P38" s="5">
        <v>920.3</v>
      </c>
      <c r="Q38" s="5">
        <v>923.6</v>
      </c>
      <c r="U38" s="2">
        <v>890.34799999999996</v>
      </c>
      <c r="V38" s="2">
        <v>895.99</v>
      </c>
      <c r="W38" s="2">
        <v>902.66399999999999</v>
      </c>
    </row>
    <row r="40" spans="2:23" x14ac:dyDescent="0.2">
      <c r="B40" s="2" t="s">
        <v>37</v>
      </c>
      <c r="K40" s="9">
        <f>K23/G23-1</f>
        <v>3.8740578995561936E-3</v>
      </c>
      <c r="L40" s="9" t="e">
        <f>L23/H23-1</f>
        <v>#DIV/0!</v>
      </c>
      <c r="P40" s="9">
        <f>P23/L23-1</f>
        <v>1.8998384491114795E-2</v>
      </c>
      <c r="V40" s="10">
        <f>V23/U23-1</f>
        <v>3.9362801065622843E-2</v>
      </c>
      <c r="W40" s="10">
        <f>W23/V23-1</f>
        <v>5.5430594061132377E-2</v>
      </c>
    </row>
    <row r="41" spans="2:23" x14ac:dyDescent="0.2">
      <c r="B41" s="2" t="s">
        <v>38</v>
      </c>
      <c r="G41" s="9">
        <f>G28/G23</f>
        <v>0.51665844896809188</v>
      </c>
      <c r="K41" s="9">
        <f>K28/K23</f>
        <v>0.52694358686500142</v>
      </c>
      <c r="L41" s="9">
        <f>L28/L23</f>
        <v>0.54933764135702745</v>
      </c>
      <c r="P41" s="9">
        <f>P28/P23</f>
        <v>0.56756928150168051</v>
      </c>
      <c r="U41" s="10">
        <f>U28/U23</f>
        <v>0.5593613512386959</v>
      </c>
      <c r="V41" s="10">
        <f>V28/V23</f>
        <v>0.54900524838276576</v>
      </c>
      <c r="W41" s="10">
        <f>W28/W23</f>
        <v>0.54002973732033699</v>
      </c>
    </row>
    <row r="43" spans="2:23" x14ac:dyDescent="0.2">
      <c r="B43" s="2" t="s">
        <v>73</v>
      </c>
      <c r="P43" s="2">
        <f>+P44-P58</f>
        <v>-38732</v>
      </c>
    </row>
    <row r="44" spans="2:23" x14ac:dyDescent="0.2">
      <c r="B44" s="2" t="s">
        <v>3</v>
      </c>
      <c r="P44" s="2">
        <f>12210+2268+1481+1840</f>
        <v>17799</v>
      </c>
    </row>
    <row r="45" spans="2:23" x14ac:dyDescent="0.2">
      <c r="B45" s="2" t="s">
        <v>54</v>
      </c>
      <c r="P45" s="2">
        <f>5769+757</f>
        <v>6526</v>
      </c>
    </row>
    <row r="46" spans="2:23" x14ac:dyDescent="0.2">
      <c r="B46" s="2" t="s">
        <v>55</v>
      </c>
      <c r="P46" s="2">
        <f>5075+723+5483</f>
        <v>11281</v>
      </c>
    </row>
    <row r="47" spans="2:23" x14ac:dyDescent="0.2">
      <c r="B47" s="2" t="s">
        <v>56</v>
      </c>
      <c r="P47" s="2">
        <v>1234</v>
      </c>
    </row>
    <row r="48" spans="2:23" x14ac:dyDescent="0.2">
      <c r="B48" s="2" t="s">
        <v>57</v>
      </c>
      <c r="P48" s="2">
        <f>997+820</f>
        <v>1817</v>
      </c>
    </row>
    <row r="49" spans="2:16" x14ac:dyDescent="0.2">
      <c r="B49" s="2" t="s">
        <v>58</v>
      </c>
      <c r="P49" s="2">
        <v>2784</v>
      </c>
    </row>
    <row r="50" spans="2:16" x14ac:dyDescent="0.2">
      <c r="B50" s="2" t="s">
        <v>59</v>
      </c>
      <c r="P50" s="2">
        <v>5600</v>
      </c>
    </row>
    <row r="51" spans="2:16" x14ac:dyDescent="0.2">
      <c r="B51" s="2" t="s">
        <v>60</v>
      </c>
      <c r="P51" s="2">
        <v>3130</v>
      </c>
    </row>
    <row r="52" spans="2:16" x14ac:dyDescent="0.2">
      <c r="B52" s="2" t="s">
        <v>61</v>
      </c>
      <c r="P52" s="2">
        <v>7630</v>
      </c>
    </row>
    <row r="53" spans="2:16" x14ac:dyDescent="0.2">
      <c r="B53" s="2" t="s">
        <v>62</v>
      </c>
      <c r="P53" s="2">
        <v>6378</v>
      </c>
    </row>
    <row r="54" spans="2:16" x14ac:dyDescent="0.2">
      <c r="B54" s="2" t="s">
        <v>63</v>
      </c>
      <c r="P54" s="2">
        <f>59416+10251</f>
        <v>69667</v>
      </c>
    </row>
    <row r="55" spans="2:16" x14ac:dyDescent="0.2">
      <c r="B55" s="2" t="s">
        <v>64</v>
      </c>
      <c r="P55" s="2">
        <f>SUM(P44:P54)</f>
        <v>133846</v>
      </c>
    </row>
    <row r="56" spans="2:16" x14ac:dyDescent="0.2">
      <c r="B56" s="2"/>
      <c r="P56" s="2"/>
    </row>
    <row r="57" spans="2:16" x14ac:dyDescent="0.2">
      <c r="B57" s="2" t="s">
        <v>35</v>
      </c>
      <c r="P57" s="2">
        <v>1691</v>
      </c>
    </row>
    <row r="58" spans="2:16" x14ac:dyDescent="0.2">
      <c r="B58" s="2" t="s">
        <v>4</v>
      </c>
      <c r="P58" s="2">
        <f>3602+52929</f>
        <v>56531</v>
      </c>
    </row>
    <row r="59" spans="2:16" x14ac:dyDescent="0.2">
      <c r="B59" s="2" t="s">
        <v>67</v>
      </c>
      <c r="P59" s="2">
        <v>3631</v>
      </c>
    </row>
    <row r="60" spans="2:16" x14ac:dyDescent="0.2">
      <c r="B60" s="2" t="s">
        <v>68</v>
      </c>
      <c r="P60" s="2">
        <v>3125</v>
      </c>
    </row>
    <row r="61" spans="2:16" x14ac:dyDescent="0.2">
      <c r="B61" s="2" t="s">
        <v>69</v>
      </c>
      <c r="P61" s="2">
        <f>13643+3489</f>
        <v>17132</v>
      </c>
    </row>
    <row r="62" spans="2:16" x14ac:dyDescent="0.2">
      <c r="B62" s="2" t="s">
        <v>70</v>
      </c>
      <c r="P62" s="2">
        <f>762+2546</f>
        <v>3308</v>
      </c>
    </row>
    <row r="63" spans="2:16" x14ac:dyDescent="0.2">
      <c r="B63" s="2" t="s">
        <v>71</v>
      </c>
      <c r="P63" s="2">
        <v>3195</v>
      </c>
    </row>
    <row r="64" spans="2:16" x14ac:dyDescent="0.2">
      <c r="B64" s="2" t="s">
        <v>61</v>
      </c>
      <c r="P64" s="2">
        <v>10200</v>
      </c>
    </row>
    <row r="65" spans="2:23" x14ac:dyDescent="0.2">
      <c r="B65" s="2" t="s">
        <v>49</v>
      </c>
      <c r="P65" s="2">
        <v>10932</v>
      </c>
    </row>
    <row r="66" spans="2:23" x14ac:dyDescent="0.2">
      <c r="B66" s="2" t="s">
        <v>66</v>
      </c>
      <c r="P66" s="2">
        <v>24103</v>
      </c>
    </row>
    <row r="67" spans="2:23" x14ac:dyDescent="0.2">
      <c r="B67" s="2" t="s">
        <v>65</v>
      </c>
      <c r="P67" s="2">
        <f>SUM(P57:P66)</f>
        <v>133848</v>
      </c>
    </row>
    <row r="70" spans="2:23" x14ac:dyDescent="0.2">
      <c r="B70" s="2" t="s">
        <v>39</v>
      </c>
      <c r="G70" s="5">
        <v>3248</v>
      </c>
      <c r="K70" s="5">
        <v>3774</v>
      </c>
      <c r="U70" s="2">
        <v>18197</v>
      </c>
      <c r="V70" s="2">
        <v>12796</v>
      </c>
      <c r="W70" s="2">
        <v>10435</v>
      </c>
    </row>
    <row r="71" spans="2:23" x14ac:dyDescent="0.2">
      <c r="B71" s="2" t="s">
        <v>40</v>
      </c>
      <c r="G71" s="5">
        <v>281</v>
      </c>
      <c r="K71" s="5">
        <v>300</v>
      </c>
      <c r="U71" s="2">
        <v>2618</v>
      </c>
      <c r="V71" s="2">
        <v>2062</v>
      </c>
      <c r="W71" s="2">
        <v>1346</v>
      </c>
    </row>
    <row r="72" spans="2:23" x14ac:dyDescent="0.2">
      <c r="B72" s="2" t="s">
        <v>41</v>
      </c>
      <c r="G72" s="5">
        <f>G70-G71</f>
        <v>2967</v>
      </c>
      <c r="K72" s="5">
        <f>K70-K71</f>
        <v>3474</v>
      </c>
      <c r="U72" s="2">
        <f>U70-U71</f>
        <v>15579</v>
      </c>
      <c r="V72" s="2">
        <f>V70-V71</f>
        <v>10734</v>
      </c>
      <c r="W72" s="2">
        <f>W70-W71</f>
        <v>9089</v>
      </c>
    </row>
  </sheetData>
  <hyperlinks>
    <hyperlink ref="A1" location="Main!A1" display="Main" xr:uid="{04926635-D687-48EF-9EDB-66CBA13328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2023-05-11T01:02:15Z</dcterms:created>
  <dcterms:modified xsi:type="dcterms:W3CDTF">2025-10-13T14:08:21Z</dcterms:modified>
</cp:coreProperties>
</file>