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BCEF86F-9B7A-48A5-ADAF-8919EDC7B300}" xr6:coauthVersionLast="47" xr6:coauthVersionMax="47" xr10:uidLastSave="{00000000-0000-0000-0000-000000000000}"/>
  <bookViews>
    <workbookView xWindow="9960" yWindow="3330" windowWidth="18075" windowHeight="16020" xr2:uid="{1054D507-1308-4FD4-B51E-7B0D91C597A0}"/>
  </bookViews>
  <sheets>
    <sheet name="Main" sheetId="1" r:id="rId1"/>
    <sheet name="Model" sheetId="3" r:id="rId2"/>
    <sheet name="Amtagv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3" l="1"/>
  <c r="W22" i="3" s="1"/>
  <c r="X22" i="3" s="1"/>
  <c r="Y22" i="3" s="1"/>
  <c r="Z22" i="3" s="1"/>
  <c r="V14" i="3"/>
  <c r="V15" i="3" s="1"/>
  <c r="U8" i="3"/>
  <c r="V8" i="3" s="1"/>
  <c r="U9" i="3"/>
  <c r="U10" i="3" s="1"/>
  <c r="I22" i="3"/>
  <c r="J15" i="3"/>
  <c r="I15" i="3"/>
  <c r="J10" i="3"/>
  <c r="I7" i="3"/>
  <c r="J7" i="3" s="1"/>
  <c r="H7" i="3"/>
  <c r="I10" i="3"/>
  <c r="Z5" i="3"/>
  <c r="Z9" i="3" s="1"/>
  <c r="Z7" i="3" s="1"/>
  <c r="Y5" i="3"/>
  <c r="Y9" i="3" s="1"/>
  <c r="Y7" i="3" s="1"/>
  <c r="X5" i="3"/>
  <c r="X9" i="3" s="1"/>
  <c r="X7" i="3" s="1"/>
  <c r="W5" i="3"/>
  <c r="W9" i="3" s="1"/>
  <c r="W7" i="3" s="1"/>
  <c r="U5" i="3"/>
  <c r="T5" i="3"/>
  <c r="S5" i="3"/>
  <c r="R5" i="3"/>
  <c r="Q5" i="3"/>
  <c r="P5" i="3"/>
  <c r="V5" i="3"/>
  <c r="V9" i="3" s="1"/>
  <c r="V7" i="3" s="1"/>
  <c r="T2" i="3"/>
  <c r="S2" i="3" s="1"/>
  <c r="R2" i="3" s="1"/>
  <c r="Q2" i="3" s="1"/>
  <c r="P2" i="3" s="1"/>
  <c r="W2" i="3"/>
  <c r="X2" i="3" s="1"/>
  <c r="Y2" i="3" s="1"/>
  <c r="Z2" i="3" s="1"/>
  <c r="AA2" i="3" s="1"/>
  <c r="AB2" i="3" s="1"/>
  <c r="AC2" i="3" s="1"/>
  <c r="AD2" i="3" s="1"/>
  <c r="AE2" i="3" s="1"/>
  <c r="AF2" i="3" s="1"/>
  <c r="AG2" i="3" s="1"/>
  <c r="I12" i="3" l="1"/>
  <c r="I16" i="3" s="1"/>
  <c r="I18" i="3" s="1"/>
  <c r="I20" i="3" s="1"/>
  <c r="I21" i="3" s="1"/>
  <c r="W14" i="3"/>
  <c r="W8" i="3"/>
  <c r="X8" i="3" s="1"/>
  <c r="Y8" i="3" s="1"/>
  <c r="Z8" i="3" s="1"/>
  <c r="V10" i="3"/>
  <c r="J12" i="3"/>
  <c r="J16" i="3" s="1"/>
  <c r="J18" i="3" s="1"/>
  <c r="J20" i="3" s="1"/>
  <c r="J21" i="3" s="1"/>
  <c r="W10" i="3"/>
  <c r="X10" i="3"/>
  <c r="V11" i="3"/>
  <c r="V12" i="3" s="1"/>
  <c r="V16" i="3" s="1"/>
  <c r="V18" i="3" s="1"/>
  <c r="G15" i="3"/>
  <c r="G10" i="3"/>
  <c r="G12" i="3" s="1"/>
  <c r="H15" i="3"/>
  <c r="H10" i="3"/>
  <c r="H12" i="3" s="1"/>
  <c r="I5" i="1"/>
  <c r="I4" i="1"/>
  <c r="I7" i="1" s="1"/>
  <c r="X14" i="3" l="1"/>
  <c r="W15" i="3"/>
  <c r="V19" i="3"/>
  <c r="V20" i="3" s="1"/>
  <c r="W11" i="3"/>
  <c r="W12" i="3" s="1"/>
  <c r="W16" i="3" s="1"/>
  <c r="W18" i="3" s="1"/>
  <c r="X11" i="3"/>
  <c r="X12" i="3" s="1"/>
  <c r="Z10" i="3"/>
  <c r="Y10" i="3"/>
  <c r="H16" i="3"/>
  <c r="H18" i="3" s="1"/>
  <c r="H20" i="3" s="1"/>
  <c r="H21" i="3" s="1"/>
  <c r="G16" i="3"/>
  <c r="G18" i="3" s="1"/>
  <c r="G20" i="3" s="1"/>
  <c r="G21" i="3" s="1"/>
  <c r="Y14" i="3" l="1"/>
  <c r="X15" i="3"/>
  <c r="X16" i="3" s="1"/>
  <c r="X18" i="3" s="1"/>
  <c r="X19" i="3" s="1"/>
  <c r="X20" i="3" s="1"/>
  <c r="W19" i="3"/>
  <c r="W20" i="3" s="1"/>
  <c r="W21" i="3" s="1"/>
  <c r="V21" i="3"/>
  <c r="Y11" i="3"/>
  <c r="Y12" i="3" s="1"/>
  <c r="Z11" i="3"/>
  <c r="Z12" i="3" s="1"/>
  <c r="Y15" i="3" l="1"/>
  <c r="Y16" i="3" s="1"/>
  <c r="Y18" i="3" s="1"/>
  <c r="Y19" i="3" s="1"/>
  <c r="Y20" i="3" s="1"/>
  <c r="Z14" i="3"/>
  <c r="Z15" i="3" s="1"/>
  <c r="Z16" i="3"/>
  <c r="Z18" i="3" s="1"/>
  <c r="Z19" i="3" s="1"/>
  <c r="Z20" i="3" s="1"/>
  <c r="X21" i="3"/>
  <c r="Y21" i="3" l="1"/>
  <c r="AA20" i="3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Z21" i="3"/>
  <c r="AC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V10" authorId="0" shapeId="0" xr:uid="{A02DD583-D10A-4D0B-B26C-0B23730319A2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Q4 guidance: 450-475m</t>
        </r>
      </text>
    </comment>
  </commentList>
</comments>
</file>

<file path=xl/sharedStrings.xml><?xml version="1.0" encoding="utf-8"?>
<sst xmlns="http://schemas.openxmlformats.org/spreadsheetml/2006/main" count="114" uniqueCount="102">
  <si>
    <t>Price</t>
  </si>
  <si>
    <t>Shares</t>
  </si>
  <si>
    <t>MC</t>
  </si>
  <si>
    <t>Cash</t>
  </si>
  <si>
    <t>Debt</t>
  </si>
  <si>
    <t>EV</t>
  </si>
  <si>
    <t>PPE</t>
  </si>
  <si>
    <t>Q224</t>
  </si>
  <si>
    <t>Brand</t>
  </si>
  <si>
    <t>Amtagvi</t>
  </si>
  <si>
    <t>Amtagvi (lifileucel)</t>
  </si>
  <si>
    <t>Indication</t>
  </si>
  <si>
    <t>Approval</t>
  </si>
  <si>
    <t>MOA</t>
  </si>
  <si>
    <t>Autologous</t>
  </si>
  <si>
    <t>2L+ Metastatic Melanoma</t>
  </si>
  <si>
    <t>Main</t>
  </si>
  <si>
    <t>Regimen</t>
  </si>
  <si>
    <t>CD4+ CD8+ T cells based on resected tumor</t>
  </si>
  <si>
    <t>Clinical Trials</t>
  </si>
  <si>
    <t>n=82 per protocol</t>
  </si>
  <si>
    <t>Manufacturing</t>
  </si>
  <si>
    <t>32% RR, 4% CR</t>
  </si>
  <si>
    <t>56% of responders &gt;6 months</t>
  </si>
  <si>
    <t>44% of responders &gt;12 months</t>
  </si>
  <si>
    <t>CEO: Fred Vogt</t>
  </si>
  <si>
    <t>Proleukin</t>
  </si>
  <si>
    <t>Phase III TILVANCE-301</t>
  </si>
  <si>
    <t>Revenue</t>
  </si>
  <si>
    <t>Q123</t>
  </si>
  <si>
    <t>Q223</t>
  </si>
  <si>
    <t>Q323</t>
  </si>
  <si>
    <t>Q423</t>
  </si>
  <si>
    <t>Q124</t>
  </si>
  <si>
    <t>Q324</t>
  </si>
  <si>
    <t>Q424</t>
  </si>
  <si>
    <t>Gross Margin</t>
  </si>
  <si>
    <t>COGS</t>
  </si>
  <si>
    <t>R&amp;D</t>
  </si>
  <si>
    <t>SG&amp;A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</si>
  <si>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</si>
  <si>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</si>
  <si>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</si>
  <si>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</si>
  <si>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</si>
  <si>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</si>
  <si>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</si>
  <si>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22-day manufacturing process, 34 days for delivery</t>
  </si>
  <si>
    <t>Primary Endpoint: ORR</t>
  </si>
  <si>
    <t>n=66 mean 3.3 prior therapies</t>
  </si>
  <si>
    <t xml:space="preserve">  36% ORR (2 CR, 22 PR)</t>
  </si>
  <si>
    <t xml:space="preserve">  80% DCR</t>
  </si>
  <si>
    <t xml:space="preserve">    mDOR &gt;18.7months</t>
  </si>
  <si>
    <t>Metastatic Melanoma</t>
  </si>
  <si>
    <t xml:space="preserve">  PD-1 refractory cohort 41% ORR, 81% DCR (40-65% of patients have primary resistance of PD-1)</t>
  </si>
  <si>
    <t>tumor resection followed by ex vivo expansion</t>
  </si>
  <si>
    <t>Generic</t>
  </si>
  <si>
    <t>lifileucel</t>
  </si>
  <si>
    <t>Amtagvi, LN-144</t>
  </si>
  <si>
    <t>Phase II n=111 3L+ metastatic melanoma - NCT02360579</t>
  </si>
  <si>
    <t>Gen 1 vs. Gen 2</t>
  </si>
  <si>
    <t>Study start: 9/2015, n=178; 4 cohorts, Gen 1, Gen 2, retreatment, Gen2 (open)</t>
  </si>
  <si>
    <t xml:space="preserve">  4/2017-1/2019 - cohort 2? At 26 sites</t>
  </si>
  <si>
    <t>Single infusion of 1-150 10^9 lifileucel after cyclophosphamide, fludarabine. 6 doses of high-dose IL-2 after.</t>
  </si>
  <si>
    <t>Amtagvi Price</t>
  </si>
  <si>
    <t>Phase III "KEYNOTE-006" - pembrolizumab (Keytruda, MRK) vs ipilimumab (Yervoy, BMY)</t>
  </si>
  <si>
    <t>median OS for ipilimumab 15.9 months</t>
  </si>
  <si>
    <t>median OS for pembro 32.7 months, mPFS 9.4 months</t>
  </si>
  <si>
    <t>Available for Treatment</t>
  </si>
  <si>
    <t>Market Share</t>
  </si>
  <si>
    <t>Patients</t>
  </si>
  <si>
    <t>Maturity</t>
  </si>
  <si>
    <t>ROIC</t>
  </si>
  <si>
    <t>Discount</t>
  </si>
  <si>
    <t>NPV</t>
  </si>
  <si>
    <t>Phase II "IOV-COM-202" - 1L with Checkpoint</t>
  </si>
  <si>
    <t>Complete enrollment with data in 2025, BLA in 2026</t>
  </si>
  <si>
    <t>Phase II "IOV-END-201" endometrial cancer</t>
  </si>
  <si>
    <t>IOV-4001</t>
  </si>
  <si>
    <t>PD-1 inactivated TIL</t>
  </si>
  <si>
    <t>Melanoma</t>
  </si>
  <si>
    <t>I</t>
  </si>
  <si>
    <t>Phase</t>
  </si>
  <si>
    <t>IOV-3001</t>
  </si>
  <si>
    <t>IL-2</t>
  </si>
  <si>
    <t>IOV-5001</t>
  </si>
  <si>
    <t>IL-12 cell therapy</t>
  </si>
  <si>
    <t>Regulatory</t>
  </si>
  <si>
    <t>Cohort A 30% CR, 65% ORR</t>
  </si>
  <si>
    <t>partial clinical hold</t>
  </si>
  <si>
    <t>LN-145 used?</t>
  </si>
  <si>
    <t>Phase II "IOV-LUN-202" n=120 post-anti-PD-1 NSCLC</t>
  </si>
  <si>
    <t xml:space="preserve">ramucirumab </t>
  </si>
  <si>
    <t>nintedanib</t>
  </si>
  <si>
    <t>n=23 26% ORR</t>
  </si>
  <si>
    <t>Q125</t>
  </si>
  <si>
    <t>Q225</t>
  </si>
  <si>
    <t>Q325</t>
  </si>
  <si>
    <t>Q425</t>
  </si>
  <si>
    <t>$515,000</t>
  </si>
  <si>
    <t>28/6/2024 BLA submitted</t>
  </si>
  <si>
    <t>16/2/2024 FDA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</si>
</sst>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9375F4-9BBE-4C68-8DB1-75A9293DDF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23812</xdr:rowOff>
    </xdr:from>
    <xdr:to>
      <xdr:col>8</xdr:col>
      <xdr:colOff>47624</xdr:colOff>
      <xdr:row>35</xdr:row>
      <xdr:rowOff>11906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271BA2-28CE-86CB-6E72-AC6A317526DE}"/>
            </a:ext>
          </a:extLst>
        </xdr:cNvPr>
        <xdr:cNvCxnSpPr/>
      </xdr:nvCxnSpPr>
      <xdr:spPr>
        <a:xfrm>
          <a:off x="5405437" y="23812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0</xdr:row>
      <xdr:rowOff>0</xdr:rowOff>
    </xdr:from>
    <xdr:to>
      <xdr:col>21</xdr:col>
      <xdr:colOff>57150</xdr:colOff>
      <xdr:row>34</xdr:row>
      <xdr:rowOff>148828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C35277-3BC7-41B8-897D-DE0040008A13}"/>
            </a:ext>
          </a:extLst>
        </xdr:cNvPr>
        <xdr:cNvCxnSpPr/>
      </xdr:nvCxnSpPr>
      <xdr:spPr>
        <a:xfrm>
          <a:off x="10879931" y="0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302558</xdr:colOff>
      <xdr:row>32</xdr:row>
      <xdr:rowOff>74144</xdr:rowOff>
    </xdr:from>
    <xdr:to>
      <xdr:col>12</xdr:col>
      <xdr:colOff>286746</xdr:colOff>
      <xdr:row>48</xdr:row>
      <xdr:rowOff>153061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D80B1-11AF-2016-E865-C52B235F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352" y="4937497"/>
          <a:ext cx="5004423" cy="2589035"/>
        </a:xfrm>
        <a:prstGeom prst="rect">
          <a:avLst/>
        </a:prstGeom>
      </xdr:spPr>
    </xdr:pic>
    <xdr:clientData/>
  </xdr:twoCellAnchor>
  <xdr:twoCellAnchor editAs="oneCell">
    <xdr:from>
      <xdr:col>2</xdr:col>
      <xdr:colOff>11382</xdr:colOff>
      <xdr:row>52</xdr:row>
      <xdr:rowOff>135548</xdr:rowOff>
    </xdr:from>
    <xdr:to>
      <xdr:col>12</xdr:col>
      <xdr:colOff>14215</xdr:colOff>
      <xdr:row>86</xdr:row>
      <xdr:rowOff>120205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18034E-391A-B85E-FA02-139A768B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4978" y="8356356"/>
          <a:ext cx="6860833" cy="54651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DB4A-E1A7-46DA-B6C4-44E49BB99810}">
  <dimension ref="B2:J11"/>
  <sheetViews>
    <sheetView tabSelected="1" zoomScaleNormal="100" workbookViewId="0">
      <selection activeCell="J8" sqref="J8"/>
    </sheetView>
  </sheetViews>
  <sheetFormatPr defaultRowHeight="12.75" x14ac:dyDescent="0.2"/>
  <cols>
    <col min="1" max="1" width="3.85546875" customWidth="1"/>
    <col min="2" max="2" width="17.85546875" customWidth="1"/>
    <col min="3" max="3" width="23.140625" customWidth="1"/>
    <col min="4" max="4" width="11" customWidth="1"/>
    <col min="5" max="5" width="11.28515625" customWidth="1"/>
  </cols>
  <sheetData>
    <row r="2" spans="2:10" x14ac:dyDescent="0.2">
      <c r="B2" s="13" t="s">
        <v>8</v>
      </c>
      <c r="C2" s="14" t="s">
        <v>11</v>
      </c>
      <c r="D2" s="15" t="s">
        <v>12</v>
      </c>
      <c r="E2" s="15" t="s">
        <v>13</v>
      </c>
      <c r="F2" s="16"/>
      <c r="H2" t="s">
        <v>0</v>
      </c>
      <c r="I2" s="23">
        <v>4.05</v>
      </c>
    </row>
    <row r="3" spans="2:10" x14ac:dyDescent="0.2">
      <c r="B3" s="22" t="s">
        <v>10</v>
      </c>
      <c r="C3" t="s">
        <v>15</v>
      </c>
      <c r="D3" s="17">
        <v>45338</v>
      </c>
      <c r="E3" s="18" t="s">
        <v>14</v>
      </c>
      <c r="F3" s="19"/>
      <c r="H3" t="s">
        <v>1</v>
      </c>
      <c r="I3" s="2">
        <v>303.51387199999999</v>
      </c>
      <c r="J3" s="1" t="s">
        <v>7</v>
      </c>
    </row>
    <row r="4" spans="2:10" x14ac:dyDescent="0.2">
      <c r="B4" s="10" t="s">
        <v>26</v>
      </c>
      <c r="D4" s="18"/>
      <c r="E4" s="18"/>
      <c r="F4" s="19"/>
      <c r="H4" t="s">
        <v>2</v>
      </c>
      <c r="I4" s="2">
        <f>+I2*I3</f>
        <v>1229.2311815999999</v>
      </c>
    </row>
    <row r="5" spans="2:10" x14ac:dyDescent="0.2">
      <c r="B5" s="13"/>
      <c r="C5" s="14"/>
      <c r="D5" s="15" t="s">
        <v>82</v>
      </c>
      <c r="E5" s="15"/>
      <c r="F5" s="16"/>
      <c r="H5" t="s">
        <v>3</v>
      </c>
      <c r="I5" s="2">
        <f>228.678+183.864+0.074+6.356</f>
        <v>418.97200000000004</v>
      </c>
      <c r="J5" s="1" t="s">
        <v>7</v>
      </c>
    </row>
    <row r="6" spans="2:10" x14ac:dyDescent="0.2">
      <c r="B6" s="10" t="s">
        <v>78</v>
      </c>
      <c r="C6" t="s">
        <v>80</v>
      </c>
      <c r="D6" s="18" t="s">
        <v>81</v>
      </c>
      <c r="E6" s="18" t="s">
        <v>79</v>
      </c>
      <c r="F6" s="19"/>
      <c r="H6" t="s">
        <v>4</v>
      </c>
      <c r="I6" s="2">
        <v>1</v>
      </c>
      <c r="J6" s="1" t="s">
        <v>7</v>
      </c>
    </row>
    <row r="7" spans="2:10" x14ac:dyDescent="0.2">
      <c r="B7" s="10" t="s">
        <v>85</v>
      </c>
      <c r="D7" s="18"/>
      <c r="E7" s="18" t="s">
        <v>86</v>
      </c>
      <c r="F7" s="19"/>
      <c r="H7" t="s">
        <v>5</v>
      </c>
      <c r="I7" s="2">
        <f>+I4-I5+I6</f>
        <v>811.25918159999992</v>
      </c>
    </row>
    <row r="8" spans="2:10" x14ac:dyDescent="0.2">
      <c r="B8" s="11" t="s">
        <v>83</v>
      </c>
      <c r="C8" s="12"/>
      <c r="D8" s="20"/>
      <c r="E8" s="20" t="s">
        <v>84</v>
      </c>
      <c r="F8" s="21"/>
    </row>
    <row r="9" spans="2:10" x14ac:dyDescent="0.2">
      <c r="H9" t="s">
        <v>6</v>
      </c>
      <c r="I9" s="2">
        <v>110.96</v>
      </c>
      <c r="J9" s="1" t="s">
        <v>7</v>
      </c>
    </row>
    <row r="11" spans="2:10" x14ac:dyDescent="0.2">
      <c r="H11" t="s">
        <v>25</v>
      </c>
    </row>
  </sheetData>
  <hyperlinks>
    <hyperlink ref="B3" location="Amtagvi!A1" display="Amtagvi (lifileucel)" xr:uid="{8A86AA0A-DFA2-498B-8396-E75FE1439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D409-040D-4731-9469-9E62BEA01EC6}">
  <dimension ref="A1:DD27"/>
  <sheetViews>
    <sheetView zoomScaleNormal="10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C26" sqref="AC26"/>
    </sheetView>
  </sheetViews>
  <sheetFormatPr defaultRowHeight="12.75" x14ac:dyDescent="0.2"/>
  <cols>
    <col min="1" max="1" width="5" bestFit="1" customWidth="1"/>
    <col min="2" max="2" width="20.7109375" customWidth="1"/>
    <col min="3" max="14" width="9.140625" style="1"/>
    <col min="31" max="31" width="10.5703125" bestFit="1" customWidth="1"/>
  </cols>
  <sheetData>
    <row r="1" spans="1:33" x14ac:dyDescent="0.2">
      <c r="A1" s="9" t="s">
        <v>16</v>
      </c>
    </row>
    <row r="2" spans="1:33" x14ac:dyDescent="0.2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7</v>
      </c>
      <c r="I2" s="1" t="s">
        <v>34</v>
      </c>
      <c r="J2" s="1" t="s">
        <v>35</v>
      </c>
      <c r="K2" s="1" t="s">
        <v>95</v>
      </c>
      <c r="L2" s="1" t="s">
        <v>96</v>
      </c>
      <c r="M2" s="1" t="s">
        <v>97</v>
      </c>
      <c r="N2" s="1" t="s">
        <v>98</v>
      </c>
      <c r="P2">
        <f t="shared" ref="P2:S2" si="0">+Q2-1</f>
        <v>2019</v>
      </c>
      <c r="Q2">
        <f t="shared" si="0"/>
        <v>2020</v>
      </c>
      <c r="R2">
        <f t="shared" si="0"/>
        <v>2021</v>
      </c>
      <c r="S2">
        <f t="shared" si="0"/>
        <v>2022</v>
      </c>
      <c r="T2">
        <f>+U2-1</f>
        <v>2023</v>
      </c>
      <c r="U2">
        <v>2024</v>
      </c>
      <c r="V2">
        <v>2025</v>
      </c>
      <c r="W2">
        <f>+V2+1</f>
        <v>2026</v>
      </c>
      <c r="X2">
        <f t="shared" ref="X2:AG2" si="1">+W2+1</f>
        <v>2027</v>
      </c>
      <c r="Y2">
        <f t="shared" si="1"/>
        <v>2028</v>
      </c>
      <c r="Z2">
        <f t="shared" si="1"/>
        <v>2029</v>
      </c>
      <c r="AA2">
        <f t="shared" si="1"/>
        <v>2030</v>
      </c>
      <c r="AB2">
        <f t="shared" si="1"/>
        <v>2031</v>
      </c>
      <c r="AC2">
        <f t="shared" si="1"/>
        <v>2032</v>
      </c>
      <c r="AD2">
        <f t="shared" si="1"/>
        <v>2033</v>
      </c>
      <c r="AE2">
        <f t="shared" si="1"/>
        <v>2034</v>
      </c>
      <c r="AF2">
        <f t="shared" si="1"/>
        <v>2035</v>
      </c>
      <c r="AG2">
        <f t="shared" si="1"/>
        <v>2036</v>
      </c>
    </row>
    <row r="3" spans="1:33" x14ac:dyDescent="0.2">
      <c r="B3" t="s">
        <v>64</v>
      </c>
      <c r="G3" s="1">
        <v>0.51500000000000001</v>
      </c>
      <c r="H3" s="1">
        <v>0.51500000000000001</v>
      </c>
      <c r="I3" s="1">
        <v>0.51500000000000001</v>
      </c>
      <c r="J3" s="1">
        <v>0.51500000000000001</v>
      </c>
      <c r="V3">
        <v>0.51500000000000001</v>
      </c>
      <c r="W3">
        <v>0.51500000000000001</v>
      </c>
      <c r="X3">
        <v>0.51500000000000001</v>
      </c>
      <c r="Y3">
        <v>0.51500000000000001</v>
      </c>
      <c r="Z3">
        <v>0.51500000000000001</v>
      </c>
    </row>
    <row r="4" spans="1:33" x14ac:dyDescent="0.2">
      <c r="B4" t="s">
        <v>53</v>
      </c>
      <c r="P4" s="2">
        <v>3500</v>
      </c>
      <c r="Q4" s="2">
        <v>3500</v>
      </c>
      <c r="R4" s="2">
        <v>3500</v>
      </c>
      <c r="S4" s="2">
        <v>3500</v>
      </c>
      <c r="T4" s="2">
        <v>3500</v>
      </c>
      <c r="U4" s="2">
        <v>3500</v>
      </c>
      <c r="V4" s="2">
        <v>3500</v>
      </c>
      <c r="W4" s="2">
        <v>5000</v>
      </c>
      <c r="X4" s="2">
        <v>5000</v>
      </c>
      <c r="Y4" s="2">
        <v>5000</v>
      </c>
      <c r="Z4" s="2">
        <v>5000</v>
      </c>
    </row>
    <row r="5" spans="1:33" x14ac:dyDescent="0.2">
      <c r="B5" t="s">
        <v>68</v>
      </c>
      <c r="P5" s="2">
        <f t="shared" ref="P5:U5" si="2">+P4*0.5</f>
        <v>1750</v>
      </c>
      <c r="Q5" s="2">
        <f t="shared" si="2"/>
        <v>1750</v>
      </c>
      <c r="R5" s="2">
        <f t="shared" si="2"/>
        <v>1750</v>
      </c>
      <c r="S5" s="2">
        <f t="shared" si="2"/>
        <v>1750</v>
      </c>
      <c r="T5" s="2">
        <f t="shared" si="2"/>
        <v>1750</v>
      </c>
      <c r="U5" s="2">
        <f t="shared" si="2"/>
        <v>1750</v>
      </c>
      <c r="V5" s="2">
        <f>+V4*0.5</f>
        <v>1750</v>
      </c>
      <c r="W5" s="2">
        <f>+W4*0.5</f>
        <v>2500</v>
      </c>
      <c r="X5" s="2">
        <f>+X4*0.5</f>
        <v>2500</v>
      </c>
      <c r="Y5" s="2">
        <f>+Y4*0.5</f>
        <v>2500</v>
      </c>
      <c r="Z5" s="2">
        <f>+Z4*0.5</f>
        <v>2500</v>
      </c>
    </row>
    <row r="6" spans="1:33" x14ac:dyDescent="0.2">
      <c r="B6" t="s">
        <v>69</v>
      </c>
      <c r="V6" s="24">
        <v>0.4</v>
      </c>
      <c r="W6" s="24">
        <v>0.5</v>
      </c>
      <c r="X6" s="24">
        <v>0.6</v>
      </c>
      <c r="Y6" s="24">
        <v>0.65</v>
      </c>
      <c r="Z6" s="24">
        <v>0.7</v>
      </c>
    </row>
    <row r="7" spans="1:33" x14ac:dyDescent="0.2">
      <c r="B7" t="s">
        <v>70</v>
      </c>
      <c r="H7" s="7">
        <f>+H9/H3</f>
        <v>24.854368932038835</v>
      </c>
      <c r="I7" s="7">
        <f>+I9/I3</f>
        <v>78.834951456310677</v>
      </c>
      <c r="J7" s="7">
        <f>+I7+50</f>
        <v>128.83495145631068</v>
      </c>
      <c r="K7" s="7"/>
      <c r="L7" s="7"/>
      <c r="M7" s="7"/>
      <c r="N7" s="7"/>
      <c r="V7" s="2">
        <f>+V9/V3</f>
        <v>700</v>
      </c>
      <c r="W7" s="2">
        <f>+W9/W3</f>
        <v>1250</v>
      </c>
      <c r="X7" s="2">
        <f>+X9/X3</f>
        <v>1500</v>
      </c>
      <c r="Y7" s="2">
        <f>+Y9/Y3</f>
        <v>1625</v>
      </c>
      <c r="Z7" s="2">
        <f>+Z9/Z3</f>
        <v>1749.9999999999998</v>
      </c>
    </row>
    <row r="8" spans="1:33" x14ac:dyDescent="0.2">
      <c r="B8" t="s">
        <v>26</v>
      </c>
      <c r="G8" s="7">
        <v>0.71499999999999997</v>
      </c>
      <c r="H8" s="7">
        <v>18.3</v>
      </c>
      <c r="I8" s="1">
        <v>18</v>
      </c>
      <c r="J8" s="1">
        <v>25</v>
      </c>
      <c r="U8" s="2">
        <f>SUM(G8:J8)</f>
        <v>62.015000000000001</v>
      </c>
      <c r="V8" s="2">
        <f>+U8*2</f>
        <v>124.03</v>
      </c>
      <c r="W8" s="2">
        <f>+V8*1.05</f>
        <v>130.23150000000001</v>
      </c>
      <c r="X8" s="2">
        <f>+W8*1.05</f>
        <v>136.743075</v>
      </c>
      <c r="Y8" s="2">
        <f>+X8*1.05</f>
        <v>143.58022875</v>
      </c>
      <c r="Z8" s="2">
        <f>+Y8*1.05</f>
        <v>150.75924018750001</v>
      </c>
    </row>
    <row r="9" spans="1:33" x14ac:dyDescent="0.2">
      <c r="B9" t="s">
        <v>9</v>
      </c>
      <c r="G9" s="26">
        <v>0</v>
      </c>
      <c r="H9" s="27">
        <v>12.8</v>
      </c>
      <c r="I9" s="27">
        <v>40.6</v>
      </c>
      <c r="J9" s="27">
        <v>49</v>
      </c>
      <c r="K9" s="7"/>
      <c r="L9" s="7"/>
      <c r="M9" s="7"/>
      <c r="N9" s="7"/>
      <c r="U9" s="2">
        <f>SUM(G9:J9)</f>
        <v>102.4</v>
      </c>
      <c r="V9" s="2">
        <f>+V5*V3*V6</f>
        <v>360.5</v>
      </c>
      <c r="W9" s="2">
        <f>+W5*W3*W6</f>
        <v>643.75</v>
      </c>
      <c r="X9" s="2">
        <f>+X5*X3*X6</f>
        <v>772.5</v>
      </c>
      <c r="Y9" s="2">
        <f>+Y5*Y3*Y6</f>
        <v>836.875</v>
      </c>
      <c r="Z9" s="2">
        <f>+Z5*Z3*Z6</f>
        <v>901.24999999999989</v>
      </c>
    </row>
    <row r="10" spans="1:33" s="3" customFormat="1" x14ac:dyDescent="0.2">
      <c r="B10" s="3" t="s">
        <v>28</v>
      </c>
      <c r="C10" s="5"/>
      <c r="D10" s="5"/>
      <c r="E10" s="5"/>
      <c r="F10" s="5"/>
      <c r="G10" s="8">
        <f>+G9+G8</f>
        <v>0.71499999999999997</v>
      </c>
      <c r="H10" s="8">
        <f>+H9+H8</f>
        <v>31.1</v>
      </c>
      <c r="I10" s="8">
        <f>+I9+I8</f>
        <v>58.6</v>
      </c>
      <c r="J10" s="8">
        <f>+J9+J8</f>
        <v>74</v>
      </c>
      <c r="K10" s="8"/>
      <c r="L10" s="8"/>
      <c r="M10" s="8"/>
      <c r="N10" s="8"/>
      <c r="U10" s="25">
        <f t="shared" ref="U10:Z10" si="3">+U8+U9</f>
        <v>164.41500000000002</v>
      </c>
      <c r="V10" s="25">
        <f t="shared" si="3"/>
        <v>484.53</v>
      </c>
      <c r="W10" s="25">
        <f t="shared" si="3"/>
        <v>773.98149999999998</v>
      </c>
      <c r="X10" s="25">
        <f t="shared" si="3"/>
        <v>909.24307499999998</v>
      </c>
      <c r="Y10" s="25">
        <f t="shared" si="3"/>
        <v>980.45522875000006</v>
      </c>
      <c r="Z10" s="25">
        <f t="shared" si="3"/>
        <v>1052.0092401874999</v>
      </c>
    </row>
    <row r="11" spans="1:33" x14ac:dyDescent="0.2">
      <c r="B11" t="s">
        <v>37</v>
      </c>
      <c r="G11" s="7">
        <v>7.2610000000000001</v>
      </c>
      <c r="H11" s="7">
        <v>31.367999999999999</v>
      </c>
      <c r="I11" s="7">
        <v>39.823</v>
      </c>
      <c r="J11" s="7">
        <v>45.542999999999999</v>
      </c>
      <c r="K11" s="7"/>
      <c r="L11" s="7"/>
      <c r="M11" s="7"/>
      <c r="N11" s="7"/>
      <c r="V11" s="2">
        <f>+V10*0.25</f>
        <v>121.13249999999999</v>
      </c>
      <c r="W11" s="2">
        <f>+W10*0.25</f>
        <v>193.495375</v>
      </c>
      <c r="X11" s="2">
        <f>+X10*0.25</f>
        <v>227.31076874999999</v>
      </c>
      <c r="Y11" s="2">
        <f>+Y10*0.25</f>
        <v>245.11380718750002</v>
      </c>
      <c r="Z11" s="2">
        <f>+Z10*0.25</f>
        <v>263.00231004687498</v>
      </c>
    </row>
    <row r="12" spans="1:33" x14ac:dyDescent="0.2">
      <c r="B12" t="s">
        <v>36</v>
      </c>
      <c r="G12" s="7">
        <f>+G10-G11</f>
        <v>-6.5460000000000003</v>
      </c>
      <c r="H12" s="7">
        <f>+H10-H11</f>
        <v>-0.26799999999999713</v>
      </c>
      <c r="I12" s="7">
        <f>+I10-I11</f>
        <v>18.777000000000001</v>
      </c>
      <c r="J12" s="7">
        <f>+J10-J11</f>
        <v>28.457000000000001</v>
      </c>
      <c r="K12" s="7"/>
      <c r="L12" s="7"/>
      <c r="M12" s="7"/>
      <c r="N12" s="7"/>
      <c r="V12" s="2">
        <f>+V10-V11</f>
        <v>363.39749999999998</v>
      </c>
      <c r="W12" s="2">
        <f>+W10-W11</f>
        <v>580.48612500000002</v>
      </c>
      <c r="X12" s="2">
        <f>+X10-X11</f>
        <v>681.93230625000001</v>
      </c>
      <c r="Y12" s="2">
        <f>+Y10-Y11</f>
        <v>735.34142156250005</v>
      </c>
      <c r="Z12" s="2">
        <f>+Z10-Z11</f>
        <v>789.00693014062495</v>
      </c>
    </row>
    <row r="13" spans="1:33" x14ac:dyDescent="0.2">
      <c r="B13" t="s">
        <v>38</v>
      </c>
      <c r="G13" s="7">
        <v>79.783000000000001</v>
      </c>
      <c r="H13" s="7">
        <v>62.084000000000003</v>
      </c>
      <c r="I13" s="7">
        <v>68.245000000000005</v>
      </c>
      <c r="J13" s="7">
        <v>72.224000000000004</v>
      </c>
      <c r="K13" s="7"/>
      <c r="L13" s="7"/>
      <c r="M13" s="7"/>
      <c r="N13" s="7"/>
    </row>
    <row r="14" spans="1:33" x14ac:dyDescent="0.2">
      <c r="B14" t="s">
        <v>39</v>
      </c>
      <c r="G14" s="7">
        <v>31.393000000000001</v>
      </c>
      <c r="H14" s="7">
        <v>31.367999999999999</v>
      </c>
      <c r="I14" s="7">
        <v>39.552999999999997</v>
      </c>
      <c r="J14" s="7">
        <v>42.503</v>
      </c>
      <c r="K14" s="7"/>
      <c r="L14" s="7"/>
      <c r="M14" s="7"/>
      <c r="N14" s="7"/>
      <c r="V14" s="2">
        <f>SUM(G14:J14)</f>
        <v>144.81700000000001</v>
      </c>
      <c r="W14" s="2">
        <f>+V14</f>
        <v>144.81700000000001</v>
      </c>
      <c r="X14" s="2">
        <f>+W14</f>
        <v>144.81700000000001</v>
      </c>
      <c r="Y14" s="2">
        <f>+X14</f>
        <v>144.81700000000001</v>
      </c>
      <c r="Z14" s="2">
        <f>+Y14</f>
        <v>144.81700000000001</v>
      </c>
    </row>
    <row r="15" spans="1:33" x14ac:dyDescent="0.2">
      <c r="B15" t="s">
        <v>40</v>
      </c>
      <c r="G15" s="7">
        <f>+G13+G14</f>
        <v>111.176</v>
      </c>
      <c r="H15" s="7">
        <f>+H13+H14</f>
        <v>93.451999999999998</v>
      </c>
      <c r="I15" s="7">
        <f>+I13+I14</f>
        <v>107.798</v>
      </c>
      <c r="J15" s="7">
        <f>+J13+J14</f>
        <v>114.727</v>
      </c>
      <c r="K15" s="7"/>
      <c r="L15" s="7"/>
      <c r="M15" s="7"/>
      <c r="N15" s="7"/>
      <c r="V15" s="2">
        <f>+V14+V13</f>
        <v>144.81700000000001</v>
      </c>
      <c r="W15" s="2">
        <f>+W14+W13</f>
        <v>144.81700000000001</v>
      </c>
      <c r="X15" s="2">
        <f>+X14+X13</f>
        <v>144.81700000000001</v>
      </c>
      <c r="Y15" s="2">
        <f>+Y14+Y13</f>
        <v>144.81700000000001</v>
      </c>
      <c r="Z15" s="2">
        <f>+Z14+Z13</f>
        <v>144.81700000000001</v>
      </c>
    </row>
    <row r="16" spans="1:33" x14ac:dyDescent="0.2">
      <c r="B16" t="s">
        <v>41</v>
      </c>
      <c r="G16" s="7">
        <f>+G12-G15</f>
        <v>-117.72200000000001</v>
      </c>
      <c r="H16" s="7">
        <f>+H12-H15</f>
        <v>-93.72</v>
      </c>
      <c r="I16" s="7">
        <f>+I12-I15</f>
        <v>-89.021000000000001</v>
      </c>
      <c r="J16" s="7">
        <f>+J12-J15</f>
        <v>-86.27000000000001</v>
      </c>
      <c r="K16" s="7"/>
      <c r="L16" s="7"/>
      <c r="M16" s="7"/>
      <c r="N16" s="7"/>
      <c r="V16" s="2">
        <f>+V12-V15</f>
        <v>218.58049999999997</v>
      </c>
      <c r="W16" s="2">
        <f>+W12-W15</f>
        <v>435.66912500000001</v>
      </c>
      <c r="X16" s="2">
        <f>+X12-X15</f>
        <v>537.11530625</v>
      </c>
      <c r="Y16" s="2">
        <f>+Y12-Y15</f>
        <v>590.52442156250004</v>
      </c>
      <c r="Z16" s="2">
        <f>+Z12-Z15</f>
        <v>644.18993014062494</v>
      </c>
    </row>
    <row r="17" spans="2:108" x14ac:dyDescent="0.2">
      <c r="B17" t="s">
        <v>42</v>
      </c>
      <c r="G17" s="7">
        <v>3.3380000000000001</v>
      </c>
      <c r="H17" s="7">
        <v>3.355</v>
      </c>
      <c r="J17" s="7">
        <v>9.5749999999999993</v>
      </c>
      <c r="K17" s="7"/>
      <c r="L17" s="7"/>
      <c r="M17" s="7"/>
      <c r="N17" s="7"/>
    </row>
    <row r="18" spans="2:108" x14ac:dyDescent="0.2">
      <c r="B18" t="s">
        <v>43</v>
      </c>
      <c r="G18" s="7">
        <f>+G16+G17</f>
        <v>-114.38400000000001</v>
      </c>
      <c r="H18" s="7">
        <f>+H16+H17</f>
        <v>-90.364999999999995</v>
      </c>
      <c r="I18" s="7">
        <f>+I16+I17</f>
        <v>-89.021000000000001</v>
      </c>
      <c r="J18" s="7">
        <f>+J16+J17</f>
        <v>-76.695000000000007</v>
      </c>
      <c r="K18" s="7"/>
      <c r="L18" s="7"/>
      <c r="M18" s="7"/>
      <c r="N18" s="7"/>
      <c r="V18" s="2">
        <f>+V16+V17</f>
        <v>218.58049999999997</v>
      </c>
      <c r="W18" s="2">
        <f>+W16+W17</f>
        <v>435.66912500000001</v>
      </c>
      <c r="X18" s="2">
        <f>+X16+X17</f>
        <v>537.11530625</v>
      </c>
      <c r="Y18" s="2">
        <f>+Y16+Y17</f>
        <v>590.52442156250004</v>
      </c>
      <c r="Z18" s="2">
        <f>+Z16+Z17</f>
        <v>644.18993014062494</v>
      </c>
    </row>
    <row r="19" spans="2:108" x14ac:dyDescent="0.2">
      <c r="B19" t="s">
        <v>44</v>
      </c>
      <c r="G19" s="7">
        <v>-1.4079999999999999</v>
      </c>
      <c r="H19" s="7">
        <v>-1.458</v>
      </c>
      <c r="J19" s="7">
        <v>1.5580000000000001</v>
      </c>
      <c r="K19" s="7"/>
      <c r="L19" s="7"/>
      <c r="M19" s="7"/>
      <c r="N19" s="7"/>
      <c r="V19" s="2">
        <f>+V18*0.25</f>
        <v>54.645124999999993</v>
      </c>
      <c r="W19" s="2">
        <f>+W18*0.25</f>
        <v>108.91728125</v>
      </c>
      <c r="X19" s="2">
        <f>+X18*0.25</f>
        <v>134.2788265625</v>
      </c>
      <c r="Y19" s="2">
        <f>+Y18*0.25</f>
        <v>147.63110539062501</v>
      </c>
      <c r="Z19" s="2">
        <f>+Z18*0.25</f>
        <v>161.04748253515623</v>
      </c>
    </row>
    <row r="20" spans="2:108" x14ac:dyDescent="0.2">
      <c r="B20" t="s">
        <v>45</v>
      </c>
      <c r="G20" s="7">
        <f>+G18-G19</f>
        <v>-112.97600000000001</v>
      </c>
      <c r="H20" s="7">
        <f>+H18-H19</f>
        <v>-88.906999999999996</v>
      </c>
      <c r="I20" s="7">
        <f>+I18-I19</f>
        <v>-89.021000000000001</v>
      </c>
      <c r="J20" s="7">
        <f>+J18-J19</f>
        <v>-78.253000000000014</v>
      </c>
      <c r="K20" s="7"/>
      <c r="L20" s="7"/>
      <c r="M20" s="7"/>
      <c r="N20" s="7"/>
      <c r="V20" s="2">
        <f>+V18-V19</f>
        <v>163.93537499999996</v>
      </c>
      <c r="W20" s="2">
        <f>+W18-W19</f>
        <v>326.75184375000003</v>
      </c>
      <c r="X20" s="2">
        <f>+X18-X19</f>
        <v>402.8364796875</v>
      </c>
      <c r="Y20" s="2">
        <f>+Y18-Y19</f>
        <v>442.89331617187503</v>
      </c>
      <c r="Z20" s="2">
        <f>+Z18-Z19</f>
        <v>483.1424476054687</v>
      </c>
      <c r="AA20" s="2">
        <f>+Z20*(1+$AC$23)</f>
        <v>473.47959865335935</v>
      </c>
      <c r="AB20" s="2">
        <f>+AA20*(1+$AC$23)</f>
        <v>464.01000668029218</v>
      </c>
      <c r="AC20" s="2">
        <f>+AB20*(1+$AC$23)</f>
        <v>454.72980654668635</v>
      </c>
      <c r="AD20" s="2">
        <f>+AC20*(1+$AC$23)</f>
        <v>445.63521041575262</v>
      </c>
      <c r="AE20" s="2">
        <f>+AD20*(1+$AC$23)</f>
        <v>436.72250620743756</v>
      </c>
      <c r="AF20" s="2">
        <f>+AE20*(1+$AC$23)</f>
        <v>427.98805608328882</v>
      </c>
      <c r="AG20" s="2">
        <f>+AF20*(1+$AC$23)</f>
        <v>419.42829496162307</v>
      </c>
      <c r="AH20" s="2">
        <f>+AG20*(1+$AC$23)</f>
        <v>411.03972906239062</v>
      </c>
      <c r="AI20" s="2">
        <f>+AH20*(1+$AC$23)</f>
        <v>402.81893448114278</v>
      </c>
      <c r="AJ20" s="2">
        <f>+AI20*(1+$AC$23)</f>
        <v>394.7625557915199</v>
      </c>
      <c r="AK20" s="2">
        <f>+AJ20*(1+$AC$23)</f>
        <v>386.86730467568947</v>
      </c>
      <c r="AL20" s="2">
        <f>+AK20*(1+$AC$23)</f>
        <v>379.12995858217568</v>
      </c>
      <c r="AM20" s="2">
        <f>+AL20*(1+$AC$23)</f>
        <v>371.54735941053218</v>
      </c>
      <c r="AN20" s="2">
        <f>+AM20*(1+$AC$23)</f>
        <v>364.11641222232151</v>
      </c>
      <c r="AO20" s="2">
        <f>+AN20*(1+$AC$23)</f>
        <v>356.83408397787508</v>
      </c>
      <c r="AP20" s="2">
        <f>+AO20*(1+$AC$23)</f>
        <v>349.69740229831757</v>
      </c>
      <c r="AQ20" s="2">
        <f>+AP20*(1+$AC$23)</f>
        <v>342.70345425235121</v>
      </c>
      <c r="AR20" s="2">
        <f>+AQ20*(1+$AC$23)</f>
        <v>335.84938516730415</v>
      </c>
      <c r="AS20" s="2">
        <f>+AR20*(1+$AC$23)</f>
        <v>329.13239746395806</v>
      </c>
      <c r="AT20" s="2">
        <f>+AS20*(1+$AC$23)</f>
        <v>322.54974951467887</v>
      </c>
      <c r="AU20" s="2">
        <f>+AT20*(1+$AC$23)</f>
        <v>316.0987545243853</v>
      </c>
      <c r="AV20" s="2">
        <f>+AU20*(1+$AC$23)</f>
        <v>309.77677943389762</v>
      </c>
      <c r="AW20" s="2">
        <f>+AV20*(1+$AC$23)</f>
        <v>303.58124384521966</v>
      </c>
      <c r="AX20" s="2">
        <f>+AW20*(1+$AC$23)</f>
        <v>297.50961896831524</v>
      </c>
      <c r="AY20" s="2">
        <f>+AX20*(1+$AC$23)</f>
        <v>291.55942658894895</v>
      </c>
      <c r="AZ20" s="2">
        <f>+AY20*(1+$AC$23)</f>
        <v>285.72823805716996</v>
      </c>
      <c r="BA20" s="2">
        <f>+AZ20*(1+$AC$23)</f>
        <v>280.01367329602658</v>
      </c>
      <c r="BB20" s="2">
        <f>+BA20*(1+$AC$23)</f>
        <v>274.41339983010607</v>
      </c>
      <c r="BC20" s="2">
        <f>+BB20*(1+$AC$23)</f>
        <v>268.92513183350394</v>
      </c>
      <c r="BD20" s="2">
        <f>+BC20*(1+$AC$23)</f>
        <v>263.54662919683386</v>
      </c>
      <c r="BE20" s="2">
        <f>+BD20*(1+$AC$23)</f>
        <v>258.27569661289721</v>
      </c>
      <c r="BF20" s="2">
        <f>+BE20*(1+$AC$23)</f>
        <v>253.11018268063927</v>
      </c>
      <c r="BG20" s="2">
        <f>+BF20*(1+$AC$23)</f>
        <v>248.04797902702649</v>
      </c>
      <c r="BH20" s="2">
        <f>+BG20*(1+$AC$23)</f>
        <v>243.08701944648595</v>
      </c>
      <c r="BI20" s="2">
        <f>+BH20*(1+$AC$23)</f>
        <v>238.22527905755624</v>
      </c>
      <c r="BJ20" s="2">
        <f>+BI20*(1+$AC$23)</f>
        <v>233.46077347640511</v>
      </c>
      <c r="BK20" s="2">
        <f>+BJ20*(1+$AC$23)</f>
        <v>228.79155800687701</v>
      </c>
      <c r="BL20" s="2">
        <f>+BK20*(1+$AC$23)</f>
        <v>224.21572684673947</v>
      </c>
      <c r="BM20" s="2">
        <f>+BL20*(1+$AC$23)</f>
        <v>219.73141230980468</v>
      </c>
      <c r="BN20" s="2">
        <f>+BM20*(1+$AC$23)</f>
        <v>215.33678406360858</v>
      </c>
      <c r="BO20" s="2">
        <f>+BN20*(1+$AC$23)</f>
        <v>211.03004838233639</v>
      </c>
      <c r="BP20" s="2">
        <f>+BO20*(1+$AC$23)</f>
        <v>206.80944741468966</v>
      </c>
      <c r="BQ20" s="2">
        <f>+BP20*(1+$AC$23)</f>
        <v>202.67325846639585</v>
      </c>
      <c r="BR20" s="2">
        <f>+BQ20*(1+$AC$23)</f>
        <v>198.61979329706793</v>
      </c>
      <c r="BS20" s="2">
        <f>+BR20*(1+$AC$23)</f>
        <v>194.64739743112656</v>
      </c>
      <c r="BT20" s="2">
        <f>+BS20*(1+$AC$23)</f>
        <v>190.75444948250401</v>
      </c>
      <c r="BU20" s="2">
        <f>+BT20*(1+$AC$23)</f>
        <v>186.93936049285392</v>
      </c>
      <c r="BV20" s="2">
        <f>+BU20*(1+$AC$23)</f>
        <v>183.20057328299683</v>
      </c>
      <c r="BW20" s="2">
        <f>+BV20*(1+$AC$23)</f>
        <v>179.53656181733689</v>
      </c>
      <c r="BX20" s="2">
        <f>+BW20*(1+$AC$23)</f>
        <v>175.94583058099016</v>
      </c>
      <c r="BY20" s="2">
        <f>+BX20*(1+$AC$23)</f>
        <v>172.42691396937036</v>
      </c>
      <c r="BZ20" s="2">
        <f>+BY20*(1+$AC$23)</f>
        <v>168.97837568998295</v>
      </c>
      <c r="CA20" s="2">
        <f>+BZ20*(1+$AC$23)</f>
        <v>165.5988081761833</v>
      </c>
      <c r="CB20" s="2">
        <f>+CA20*(1+$AC$23)</f>
        <v>162.28683201265963</v>
      </c>
      <c r="CC20" s="2">
        <f>+CB20*(1+$AC$23)</f>
        <v>159.04109537240643</v>
      </c>
      <c r="CD20" s="2">
        <f>+CC20*(1+$AC$23)</f>
        <v>155.86027346495831</v>
      </c>
      <c r="CE20" s="2">
        <f>+CD20*(1+$AC$23)</f>
        <v>152.74306799565915</v>
      </c>
      <c r="CF20" s="2">
        <f>+CE20*(1+$AC$23)</f>
        <v>149.68820663574596</v>
      </c>
      <c r="CG20" s="2">
        <f>+CF20*(1+$AC$23)</f>
        <v>146.69444250303104</v>
      </c>
      <c r="CH20" s="2">
        <f>+CG20*(1+$AC$23)</f>
        <v>143.76055365297043</v>
      </c>
      <c r="CI20" s="2">
        <f>+CH20*(1+$AC$23)</f>
        <v>140.88534257991103</v>
      </c>
      <c r="CJ20" s="2">
        <f>+CI20*(1+$AC$23)</f>
        <v>138.06763572831281</v>
      </c>
      <c r="CK20" s="2">
        <f>+CJ20*(1+$AC$23)</f>
        <v>135.30628301374654</v>
      </c>
      <c r="CL20" s="2">
        <f>+CK20*(1+$AC$23)</f>
        <v>132.60015735347162</v>
      </c>
      <c r="CM20" s="2">
        <f>+CL20*(1+$AC$23)</f>
        <v>129.94815420640219</v>
      </c>
      <c r="CN20" s="2">
        <f>+CM20*(1+$AC$23)</f>
        <v>127.34919112227415</v>
      </c>
      <c r="CO20" s="2">
        <f>+CN20*(1+$AC$23)</f>
        <v>124.80220729982867</v>
      </c>
      <c r="CP20" s="2">
        <f>+CO20*(1+$AC$23)</f>
        <v>122.30616315383209</v>
      </c>
      <c r="CQ20" s="2">
        <f>+CP20*(1+$AC$23)</f>
        <v>119.86003989075544</v>
      </c>
      <c r="CR20" s="2">
        <f>+CQ20*(1+$AC$23)</f>
        <v>117.46283909294033</v>
      </c>
      <c r="CS20" s="2">
        <f>+CR20*(1+$AC$23)</f>
        <v>115.11358231108152</v>
      </c>
      <c r="CT20" s="2">
        <f>+CS20*(1+$AC$23)</f>
        <v>112.81131066485989</v>
      </c>
      <c r="CU20" s="2">
        <f>+CT20*(1+$AC$23)</f>
        <v>110.55508445156269</v>
      </c>
      <c r="CV20" s="2">
        <f>+CU20*(1+$AC$23)</f>
        <v>108.34398276253144</v>
      </c>
      <c r="CW20" s="2">
        <f>+CV20*(1+$AC$23)</f>
        <v>106.17710310728081</v>
      </c>
      <c r="CX20" s="2">
        <f>+CW20*(1+$AC$23)</f>
        <v>104.0535610451352</v>
      </c>
      <c r="CY20" s="2">
        <f>+CX20*(1+$AC$23)</f>
        <v>101.9724898242325</v>
      </c>
      <c r="CZ20" s="2">
        <f>+CY20*(1+$AC$23)</f>
        <v>99.93304002774785</v>
      </c>
      <c r="DA20" s="2">
        <f>+CZ20*(1+$AC$23)</f>
        <v>97.934379227192892</v>
      </c>
      <c r="DB20" s="2">
        <f>+DA20*(1+$AC$23)</f>
        <v>95.975691642649039</v>
      </c>
      <c r="DC20" s="2">
        <f>+DB20*(1+$AC$23)</f>
        <v>94.056177809796054</v>
      </c>
      <c r="DD20" s="2">
        <f>+DC20*(1+$AC$23)</f>
        <v>92.175054253600138</v>
      </c>
    </row>
    <row r="21" spans="2:108" x14ac:dyDescent="0.2">
      <c r="B21" t="s">
        <v>46</v>
      </c>
      <c r="G21" s="6">
        <f>+G20/G22</f>
        <v>-0.42437082112538504</v>
      </c>
      <c r="H21" s="6">
        <f>+H20/H22</f>
        <v>-0.31215482221917934</v>
      </c>
      <c r="I21" s="6">
        <f>+I20/I22</f>
        <v>-0.31255507922631021</v>
      </c>
      <c r="J21" s="6">
        <f>+J20/J22</f>
        <v>-0.25665977893666575</v>
      </c>
      <c r="K21" s="6"/>
      <c r="L21" s="6"/>
      <c r="M21" s="6"/>
      <c r="N21" s="6"/>
      <c r="V21" s="23">
        <f>+V20/V22</f>
        <v>0.53768695267145517</v>
      </c>
      <c r="W21" s="23">
        <f>+W20/W22</f>
        <v>1.0717040367017614</v>
      </c>
      <c r="X21" s="23">
        <f>+X20/X22</f>
        <v>1.3212518603020762</v>
      </c>
      <c r="Y21" s="23">
        <f>+Y20/Y22</f>
        <v>1.4526331338249043</v>
      </c>
      <c r="Z21" s="23">
        <f>+Z20/Z22</f>
        <v>1.5846451100576231</v>
      </c>
    </row>
    <row r="22" spans="2:108" x14ac:dyDescent="0.2">
      <c r="B22" t="s">
        <v>1</v>
      </c>
      <c r="G22" s="7">
        <v>266.22000000000003</v>
      </c>
      <c r="H22" s="7">
        <v>284.81700000000001</v>
      </c>
      <c r="I22" s="7">
        <f>+H22</f>
        <v>284.81700000000001</v>
      </c>
      <c r="J22" s="7">
        <v>304.89</v>
      </c>
      <c r="K22" s="7"/>
      <c r="L22" s="7"/>
      <c r="M22" s="7"/>
      <c r="N22" s="7"/>
      <c r="V22" s="2">
        <f>J22</f>
        <v>304.89</v>
      </c>
      <c r="W22" s="2">
        <f>+V22</f>
        <v>304.89</v>
      </c>
      <c r="X22" s="2">
        <f>+W22</f>
        <v>304.89</v>
      </c>
      <c r="Y22" s="2">
        <f>+X22</f>
        <v>304.89</v>
      </c>
      <c r="Z22" s="2">
        <f>+Y22</f>
        <v>304.89</v>
      </c>
    </row>
    <row r="23" spans="2:108" x14ac:dyDescent="0.2">
      <c r="AB23" s="3" t="s">
        <v>71</v>
      </c>
      <c r="AC23" s="28">
        <v>-0.02</v>
      </c>
    </row>
    <row r="24" spans="2:108" x14ac:dyDescent="0.2">
      <c r="AB24" s="3" t="s">
        <v>72</v>
      </c>
      <c r="AC24" s="28">
        <v>0.01</v>
      </c>
    </row>
    <row r="25" spans="2:108" x14ac:dyDescent="0.2">
      <c r="AB25" s="3" t="s">
        <v>73</v>
      </c>
      <c r="AC25" s="28">
        <v>0.1</v>
      </c>
    </row>
    <row r="26" spans="2:108" x14ac:dyDescent="0.2">
      <c r="AB26" s="3" t="s">
        <v>74</v>
      </c>
      <c r="AC26" s="25">
        <f>NPV(AC25,V20:DD20)+Main!I5-Main!I6</f>
        <v>4191.95746747678</v>
      </c>
    </row>
    <row r="27" spans="2:108" x14ac:dyDescent="0.2">
      <c r="AB27" s="3"/>
      <c r="AC27" s="29"/>
    </row>
  </sheetData>
  <hyperlinks>
    <hyperlink ref="A1" location="Main!A1" display="Main" xr:uid="{98EB58D4-A9F0-4B22-B34A-DC03455969F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A01D-9C2A-46BD-9B78-0DEFBECBAD8A}">
  <dimension ref="A1:H53"/>
  <sheetViews>
    <sheetView zoomScale="85" zoomScaleNormal="85" workbookViewId="0">
      <selection activeCell="G13" sqref="G13"/>
    </sheetView>
  </sheetViews>
  <sheetFormatPr defaultRowHeight="12.75" x14ac:dyDescent="0.2"/>
  <cols>
    <col min="1" max="1" width="5" bestFit="1" customWidth="1"/>
    <col min="2" max="2" width="13.28515625" customWidth="1"/>
    <col min="7" max="7" width="15.7109375" bestFit="1" customWidth="1"/>
    <col min="8" max="8" width="14.140625" bestFit="1" customWidth="1"/>
  </cols>
  <sheetData>
    <row r="1" spans="1:3" x14ac:dyDescent="0.2">
      <c r="A1" s="9" t="s">
        <v>16</v>
      </c>
    </row>
    <row r="2" spans="1:3" x14ac:dyDescent="0.2">
      <c r="B2" t="s">
        <v>8</v>
      </c>
      <c r="C2" t="s">
        <v>58</v>
      </c>
    </row>
    <row r="3" spans="1:3" x14ac:dyDescent="0.2">
      <c r="B3" t="s">
        <v>56</v>
      </c>
      <c r="C3" t="s">
        <v>57</v>
      </c>
    </row>
    <row r="4" spans="1:3" x14ac:dyDescent="0.2">
      <c r="B4" t="s">
        <v>11</v>
      </c>
      <c r="C4" t="s">
        <v>53</v>
      </c>
    </row>
    <row r="5" spans="1:3" x14ac:dyDescent="0.2">
      <c r="B5" t="s">
        <v>17</v>
      </c>
      <c r="C5" t="s">
        <v>63</v>
      </c>
    </row>
    <row r="6" spans="1:3" x14ac:dyDescent="0.2">
      <c r="B6" t="s">
        <v>13</v>
      </c>
      <c r="C6" t="s">
        <v>55</v>
      </c>
    </row>
    <row r="7" spans="1:3" x14ac:dyDescent="0.2">
      <c r="C7" t="s">
        <v>18</v>
      </c>
    </row>
    <row r="8" spans="1:3" x14ac:dyDescent="0.2">
      <c r="B8" t="s">
        <v>21</v>
      </c>
      <c r="C8" t="s">
        <v>47</v>
      </c>
    </row>
    <row r="9" spans="1:3" x14ac:dyDescent="0.2">
      <c r="C9" t="s">
        <v>60</v>
      </c>
    </row>
    <row r="10" spans="1:3" x14ac:dyDescent="0.2">
      <c r="B10" t="s">
        <v>87</v>
      </c>
      <c r="C10" t="s">
        <v>100</v>
      </c>
    </row>
    <row r="11" spans="1:3" x14ac:dyDescent="0.2">
      <c r="C11" t="s">
        <v>101</v>
      </c>
    </row>
    <row r="12" spans="1:3" x14ac:dyDescent="0.2">
      <c r="B12" t="s">
        <v>0</v>
      </c>
      <c r="C12" t="s">
        <v>99</v>
      </c>
    </row>
    <row r="14" spans="1:3" x14ac:dyDescent="0.2">
      <c r="B14" s="4" t="s">
        <v>19</v>
      </c>
    </row>
    <row r="16" spans="1:3" x14ac:dyDescent="0.2">
      <c r="B16" s="3" t="s">
        <v>59</v>
      </c>
    </row>
    <row r="17" spans="2:8" x14ac:dyDescent="0.2">
      <c r="B17" t="s">
        <v>61</v>
      </c>
    </row>
    <row r="18" spans="2:8" x14ac:dyDescent="0.2">
      <c r="B18" t="s">
        <v>62</v>
      </c>
    </row>
    <row r="19" spans="2:8" x14ac:dyDescent="0.2">
      <c r="B19" t="s">
        <v>48</v>
      </c>
    </row>
    <row r="20" spans="2:8" x14ac:dyDescent="0.2">
      <c r="B20" t="s">
        <v>49</v>
      </c>
    </row>
    <row r="21" spans="2:8" x14ac:dyDescent="0.2">
      <c r="B21" t="s">
        <v>50</v>
      </c>
    </row>
    <row r="22" spans="2:8" x14ac:dyDescent="0.2">
      <c r="B22" t="s">
        <v>52</v>
      </c>
    </row>
    <row r="23" spans="2:8" x14ac:dyDescent="0.2">
      <c r="B23" t="s">
        <v>54</v>
      </c>
    </row>
    <row r="24" spans="2:8" x14ac:dyDescent="0.2">
      <c r="B24" t="s">
        <v>51</v>
      </c>
    </row>
    <row r="26" spans="2:8" x14ac:dyDescent="0.2">
      <c r="B26" t="s">
        <v>20</v>
      </c>
    </row>
    <row r="27" spans="2:8" x14ac:dyDescent="0.2">
      <c r="B27" t="s">
        <v>22</v>
      </c>
      <c r="G27" s="2"/>
    </row>
    <row r="28" spans="2:8" x14ac:dyDescent="0.2">
      <c r="B28" t="s">
        <v>23</v>
      </c>
      <c r="G28" s="2"/>
      <c r="H28" s="2"/>
    </row>
    <row r="29" spans="2:8" x14ac:dyDescent="0.2">
      <c r="B29" t="s">
        <v>24</v>
      </c>
      <c r="G29" s="2"/>
      <c r="H29" s="2"/>
    </row>
    <row r="30" spans="2:8" x14ac:dyDescent="0.2">
      <c r="G30" s="2"/>
    </row>
    <row r="31" spans="2:8" x14ac:dyDescent="0.2">
      <c r="B31" s="3" t="s">
        <v>75</v>
      </c>
    </row>
    <row r="32" spans="2:8" x14ac:dyDescent="0.2">
      <c r="B32" t="s">
        <v>88</v>
      </c>
    </row>
    <row r="34" spans="2:2" x14ac:dyDescent="0.2">
      <c r="B34" s="3" t="s">
        <v>27</v>
      </c>
    </row>
    <row r="36" spans="2:2" x14ac:dyDescent="0.2">
      <c r="B36" s="3" t="s">
        <v>91</v>
      </c>
    </row>
    <row r="37" spans="2:2" x14ac:dyDescent="0.2">
      <c r="B37" t="s">
        <v>90</v>
      </c>
    </row>
    <row r="38" spans="2:2" x14ac:dyDescent="0.2">
      <c r="B38" t="s">
        <v>76</v>
      </c>
    </row>
    <row r="39" spans="2:2" x14ac:dyDescent="0.2">
      <c r="B39" t="s">
        <v>89</v>
      </c>
    </row>
    <row r="40" spans="2:2" x14ac:dyDescent="0.2">
      <c r="B40" t="s">
        <v>94</v>
      </c>
    </row>
    <row r="41" spans="2:2" x14ac:dyDescent="0.2">
      <c r="B41" t="s">
        <v>92</v>
      </c>
    </row>
    <row r="42" spans="2:2" x14ac:dyDescent="0.2">
      <c r="B42" t="s">
        <v>93</v>
      </c>
    </row>
    <row r="44" spans="2:2" x14ac:dyDescent="0.2">
      <c r="B44" s="3" t="s">
        <v>77</v>
      </c>
    </row>
    <row r="51" spans="2:2" x14ac:dyDescent="0.2">
      <c r="B51" s="3" t="s">
        <v>65</v>
      </c>
    </row>
    <row r="52" spans="2:2" x14ac:dyDescent="0.2">
      <c r="B52" t="s">
        <v>67</v>
      </c>
    </row>
    <row r="53" spans="2:2" x14ac:dyDescent="0.2">
      <c r="B53" t="s">
        <v>66</v>
      </c>
    </row>
  </sheetData>
  <hyperlinks>
    <hyperlink ref="A1" location="Main!A1" display="Main" xr:uid="{1BECEA9B-F447-4AAF-B161-10E0EC7F62F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Amtagvi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2024-08-15T16:05:11Z</dcterms:created>
  <dcterms:modified xsi:type="dcterms:W3CDTF">2025-10-13T14:28:50Z</dcterms:modified>
</cp:coreProperties>
</file>