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788E4D84-B7DF-49EF-83CE-A5C4D5CD68F4}" xr6:coauthVersionLast="47" xr6:coauthVersionMax="47" xr10:uidLastSave="{00000000-0000-0000-0000-000000000000}"/>
  <bookViews>
    <workbookView xWindow="4590" yWindow="4590" windowWidth="18075" windowHeight="16020" activeTab="1" xr2:uid="{3DDFC9D6-DDE4-475E-8CAF-E238D75FD6E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8" i="2" l="1"/>
  <c r="R18" i="2"/>
  <c r="R19" i="2"/>
  <c r="Q19" i="2"/>
  <c r="R15" i="2"/>
  <c r="Q15" i="2"/>
  <c r="Q14" i="2"/>
  <c r="R14" i="2"/>
  <c r="Q12" i="2"/>
  <c r="R12" i="2"/>
  <c r="R9" i="2"/>
  <c r="R10" i="2" s="1"/>
  <c r="Q9" i="2"/>
  <c r="Q10" i="2" s="1"/>
  <c r="R6" i="2"/>
  <c r="Q6" i="2"/>
  <c r="T18" i="2"/>
  <c r="S13" i="2"/>
  <c r="S9" i="2"/>
  <c r="S6" i="2"/>
  <c r="S19" i="2" s="1"/>
  <c r="U18" i="2"/>
  <c r="T13" i="2"/>
  <c r="T9" i="2"/>
  <c r="T6" i="2"/>
  <c r="T19" i="2" s="1"/>
  <c r="U13" i="2"/>
  <c r="U9" i="2"/>
  <c r="U6" i="2"/>
  <c r="U19" i="2" s="1"/>
  <c r="W4" i="2"/>
  <c r="X24" i="2"/>
  <c r="W24" i="2"/>
  <c r="V24" i="2"/>
  <c r="V4" i="2"/>
  <c r="V18" i="2" s="1"/>
  <c r="X16" i="2"/>
  <c r="W16" i="2"/>
  <c r="V16" i="2"/>
  <c r="X13" i="2"/>
  <c r="W13" i="2"/>
  <c r="V13" i="2"/>
  <c r="X8" i="2"/>
  <c r="X7" i="2"/>
  <c r="X9" i="2" s="1"/>
  <c r="W8" i="2"/>
  <c r="W7" i="2"/>
  <c r="W9" i="2" s="1"/>
  <c r="V8" i="2"/>
  <c r="V7" i="2"/>
  <c r="O5" i="2"/>
  <c r="O6" i="2"/>
  <c r="O19" i="2" s="1"/>
  <c r="X5" i="2"/>
  <c r="W5" i="2"/>
  <c r="V5" i="2"/>
  <c r="X4" i="2"/>
  <c r="V2" i="2"/>
  <c r="W2" i="2"/>
  <c r="G18" i="2"/>
  <c r="C9" i="2"/>
  <c r="C6" i="2"/>
  <c r="C19" i="2" s="1"/>
  <c r="H18" i="2"/>
  <c r="D9" i="2"/>
  <c r="D6" i="2"/>
  <c r="D10" i="2" s="1"/>
  <c r="D12" i="2" s="1"/>
  <c r="D14" i="2" s="1"/>
  <c r="D15" i="2" s="1"/>
  <c r="I18" i="2"/>
  <c r="E9" i="2"/>
  <c r="E6" i="2"/>
  <c r="E10" i="2" s="1"/>
  <c r="E12" i="2" s="1"/>
  <c r="E14" i="2" s="1"/>
  <c r="E15" i="2" s="1"/>
  <c r="O18" i="2"/>
  <c r="O2" i="2"/>
  <c r="X2" i="2" s="1"/>
  <c r="J18" i="2"/>
  <c r="F11" i="2"/>
  <c r="V11" i="2" s="1"/>
  <c r="F9" i="2"/>
  <c r="F6" i="2"/>
  <c r="F19" i="2" s="1"/>
  <c r="G9" i="2"/>
  <c r="G6" i="2"/>
  <c r="G19" i="2" s="1"/>
  <c r="K9" i="2"/>
  <c r="K6" i="2"/>
  <c r="K18" i="2"/>
  <c r="K19" i="2"/>
  <c r="D24" i="2"/>
  <c r="E23" i="2"/>
  <c r="F23" i="2" s="1"/>
  <c r="G23" i="2" s="1"/>
  <c r="E22" i="2"/>
  <c r="F22" i="2" s="1"/>
  <c r="F24" i="2" s="1"/>
  <c r="H24" i="2"/>
  <c r="L24" i="2"/>
  <c r="L18" i="2"/>
  <c r="H11" i="2"/>
  <c r="W11" i="2" s="1"/>
  <c r="H9" i="2"/>
  <c r="H6" i="2"/>
  <c r="H19" i="2" s="1"/>
  <c r="L11" i="2"/>
  <c r="X11" i="2" s="1"/>
  <c r="L9" i="2"/>
  <c r="L6" i="2"/>
  <c r="L10" i="2" s="1"/>
  <c r="I23" i="2"/>
  <c r="J23" i="2" s="1"/>
  <c r="K23" i="2" s="1"/>
  <c r="M23" i="2"/>
  <c r="N23" i="2" s="1"/>
  <c r="I22" i="2"/>
  <c r="J22" i="2" s="1"/>
  <c r="K22" i="2" s="1"/>
  <c r="M22" i="2"/>
  <c r="N22" i="2" s="1"/>
  <c r="I11" i="2"/>
  <c r="I9" i="2"/>
  <c r="I6" i="2"/>
  <c r="I19" i="2" s="1"/>
  <c r="M18" i="2"/>
  <c r="M11" i="2"/>
  <c r="M9" i="2"/>
  <c r="M6" i="2"/>
  <c r="M19" i="2" s="1"/>
  <c r="J11" i="2"/>
  <c r="J9" i="2"/>
  <c r="N11" i="2"/>
  <c r="N9" i="2"/>
  <c r="J6" i="2"/>
  <c r="J19" i="2" s="1"/>
  <c r="N6" i="2"/>
  <c r="N19" i="2" s="1"/>
  <c r="N18" i="2"/>
  <c r="K7" i="1"/>
  <c r="K4" i="1"/>
  <c r="V6" i="2" l="1"/>
  <c r="K10" i="2"/>
  <c r="K12" i="2" s="1"/>
  <c r="K14" i="2" s="1"/>
  <c r="K15" i="2" s="1"/>
  <c r="V9" i="2"/>
  <c r="X6" i="2"/>
  <c r="S10" i="2"/>
  <c r="S12" i="2" s="1"/>
  <c r="S14" i="2" s="1"/>
  <c r="S15" i="2" s="1"/>
  <c r="V10" i="2"/>
  <c r="V12" i="2" s="1"/>
  <c r="V14" i="2" s="1"/>
  <c r="V15" i="2" s="1"/>
  <c r="V19" i="2"/>
  <c r="X10" i="2"/>
  <c r="X12" i="2" s="1"/>
  <c r="X14" i="2" s="1"/>
  <c r="X15" i="2" s="1"/>
  <c r="G10" i="2"/>
  <c r="G12" i="2" s="1"/>
  <c r="G14" i="2" s="1"/>
  <c r="G15" i="2" s="1"/>
  <c r="W6" i="2"/>
  <c r="X18" i="2"/>
  <c r="X19" i="2"/>
  <c r="W18" i="2"/>
  <c r="T10" i="2"/>
  <c r="T12" i="2" s="1"/>
  <c r="T14" i="2" s="1"/>
  <c r="T15" i="2" s="1"/>
  <c r="U10" i="2"/>
  <c r="U12" i="2" s="1"/>
  <c r="U14" i="2" s="1"/>
  <c r="U15" i="2" s="1"/>
  <c r="C10" i="2"/>
  <c r="C12" i="2" s="1"/>
  <c r="C14" i="2" s="1"/>
  <c r="C15" i="2" s="1"/>
  <c r="K24" i="2"/>
  <c r="G22" i="2"/>
  <c r="G24" i="2" s="1"/>
  <c r="D19" i="2"/>
  <c r="E19" i="2"/>
  <c r="F10" i="2"/>
  <c r="F12" i="2" s="1"/>
  <c r="F14" i="2" s="1"/>
  <c r="F15" i="2" s="1"/>
  <c r="L19" i="2"/>
  <c r="E24" i="2"/>
  <c r="J10" i="2"/>
  <c r="J12" i="2" s="1"/>
  <c r="J14" i="2" s="1"/>
  <c r="J15" i="2" s="1"/>
  <c r="I24" i="2"/>
  <c r="M24" i="2"/>
  <c r="H10" i="2"/>
  <c r="H12" i="2" s="1"/>
  <c r="H14" i="2" s="1"/>
  <c r="H15" i="2" s="1"/>
  <c r="L12" i="2"/>
  <c r="L14" i="2" s="1"/>
  <c r="L15" i="2" s="1"/>
  <c r="J24" i="2"/>
  <c r="N24" i="2"/>
  <c r="I10" i="2"/>
  <c r="I12" i="2" s="1"/>
  <c r="I14" i="2" s="1"/>
  <c r="I15" i="2" s="1"/>
  <c r="M10" i="2"/>
  <c r="M12" i="2" s="1"/>
  <c r="M14" i="2" s="1"/>
  <c r="M15" i="2" s="1"/>
  <c r="N10" i="2"/>
  <c r="N12" i="2" s="1"/>
  <c r="N14" i="2" s="1"/>
  <c r="N15" i="2" s="1"/>
  <c r="W10" i="2" l="1"/>
  <c r="W12" i="2" s="1"/>
  <c r="W14" i="2" s="1"/>
  <c r="W15" i="2" s="1"/>
  <c r="W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 Ringholm</author>
  </authors>
  <commentList>
    <comment ref="O4" authorId="0" shapeId="0" xr:uid="{FB7384AE-4C3A-4864-8558-1ED19129A453}">
      <text>
        <r>
          <rPr>
            <b/>
            <sz val="9"/>
            <color indexed="81"/>
            <rFont val="Tahoma"/>
            <charset val="1"/>
          </rPr>
          <t>Sam Ringholm:</t>
        </r>
        <r>
          <rPr>
            <sz val="9"/>
            <color indexed="81"/>
            <rFont val="Tahoma"/>
            <charset val="1"/>
          </rPr>
          <t xml:space="preserve">
6.3-6.9B guidance</t>
        </r>
      </text>
    </comment>
  </commentList>
</comments>
</file>

<file path=xl/sharedStrings.xml><?xml version="1.0" encoding="utf-8"?>
<sst xmlns="http://schemas.openxmlformats.org/spreadsheetml/2006/main" count="46" uniqueCount="45">
  <si>
    <t>Price</t>
  </si>
  <si>
    <t>Shares</t>
  </si>
  <si>
    <t>MC</t>
  </si>
  <si>
    <t>Cash</t>
  </si>
  <si>
    <t>Debt</t>
  </si>
  <si>
    <t>EV</t>
  </si>
  <si>
    <t>Main</t>
  </si>
  <si>
    <t>Revenue</t>
  </si>
  <si>
    <t>Q123</t>
  </si>
  <si>
    <t>Q223</t>
  </si>
  <si>
    <t>Q323</t>
  </si>
  <si>
    <t>Q423</t>
  </si>
  <si>
    <t>Q124</t>
  </si>
  <si>
    <t>Q224</t>
  </si>
  <si>
    <t>FQ324</t>
  </si>
  <si>
    <t>Revenue y/y</t>
  </si>
  <si>
    <t>GM %</t>
  </si>
  <si>
    <t>COGS</t>
  </si>
  <si>
    <t>Gross Profit</t>
  </si>
  <si>
    <t>Pretax Income</t>
  </si>
  <si>
    <t>Interest Income</t>
  </si>
  <si>
    <t>Operating Income</t>
  </si>
  <si>
    <t>Operating Expenses</t>
  </si>
  <si>
    <t>SG&amp;A</t>
  </si>
  <si>
    <t>R&amp;D</t>
  </si>
  <si>
    <t>Taxes</t>
  </si>
  <si>
    <t>Net Income</t>
  </si>
  <si>
    <t>EPS</t>
  </si>
  <si>
    <t>CFFO</t>
  </si>
  <si>
    <t>CapEx</t>
  </si>
  <si>
    <t>FCF</t>
  </si>
  <si>
    <t>Q122</t>
  </si>
  <si>
    <t>Q222</t>
  </si>
  <si>
    <t>Q322</t>
  </si>
  <si>
    <t>Q422</t>
  </si>
  <si>
    <t>Q421</t>
  </si>
  <si>
    <t>FQ424</t>
  </si>
  <si>
    <t>F2024</t>
  </si>
  <si>
    <t>F2023</t>
  </si>
  <si>
    <t>F2022</t>
  </si>
  <si>
    <t>F2021</t>
  </si>
  <si>
    <t>F2020</t>
  </si>
  <si>
    <t>F2019</t>
  </si>
  <si>
    <t>F2018</t>
  </si>
  <si>
    <t>F2017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</si>
</sst>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yyyy/mm/dd;@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4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2" fillId="0" borderId="0" xfId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2E0EECCA-3C35-4D85-BCC5-905710F1F49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25977</xdr:colOff>
      <xdr:row>0</xdr:row>
      <xdr:rowOff>0</xdr:rowOff>
    </xdr:from>
    <xdr:to>
      <xdr:col>14</xdr:col>
      <xdr:colOff>25977</xdr:colOff>
      <xdr:row>28</xdr:row>
      <xdr:rowOff>105277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FFE7DBD-6E80-CFC3-9A4B-81CA8DD037DB}"/>
            </a:ext>
          </a:extLst>
        </xdr:cNvPr>
        <xdr:cNvCxnSpPr/>
      </xdr:nvCxnSpPr>
      <xdr:spPr>
        <a:xfrm>
          <a:off x="9169977" y="0"/>
          <a:ext cx="0" cy="459706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17957</xdr:colOff>
      <xdr:row>0</xdr:row>
      <xdr:rowOff>0</xdr:rowOff>
    </xdr:from>
    <xdr:to>
      <xdr:col>23</xdr:col>
      <xdr:colOff>17957</xdr:colOff>
      <xdr:row>28</xdr:row>
      <xdr:rowOff>105277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D6D4F2C-A6DE-4C6F-AC5F-70BAEAEC9AFB}"/>
            </a:ext>
          </a:extLst>
        </xdr:cNvPr>
        <xdr:cNvCxnSpPr/>
      </xdr:nvCxnSpPr>
      <xdr:spPr>
        <a:xfrm>
          <a:off x="14054799" y="0"/>
          <a:ext cx="0" cy="459706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640E4-A0ED-41B5-B099-70CEE887D9B5}">
  <dimension ref="J2:L7"/>
  <sheetViews>
    <sheetView zoomScaleNormal="100" workbookViewId="0">
      <selection activeCell="L7" sqref="L7"/>
    </sheetView>
  </sheetViews>
  <sheetFormatPr defaultRowHeight="12.75" x14ac:dyDescent="0.2"/>
  <cols>
    <col min="12" max="12" width="10.5703125" customWidth="1"/>
  </cols>
  <sheetData>
    <row r="2" spans="10:12" x14ac:dyDescent="0.2">
      <c r="J2" t="s">
        <v>0</v>
      </c>
      <c r="K2" s="1">
        <v>110</v>
      </c>
    </row>
    <row r="3" spans="10:12" x14ac:dyDescent="0.2">
      <c r="J3" t="s">
        <v>1</v>
      </c>
      <c r="K3" s="2">
        <v>113.44519200000001</v>
      </c>
      <c r="L3" s="3">
        <v>45443</v>
      </c>
    </row>
    <row r="4" spans="10:12" x14ac:dyDescent="0.2">
      <c r="J4" t="s">
        <v>2</v>
      </c>
      <c r="K4" s="2">
        <f>+K2*K3</f>
        <v>12478.97112</v>
      </c>
    </row>
    <row r="5" spans="10:12" x14ac:dyDescent="0.2">
      <c r="J5" t="s">
        <v>3</v>
      </c>
      <c r="K5" s="2">
        <v>2457</v>
      </c>
      <c r="L5" s="3">
        <v>45443</v>
      </c>
    </row>
    <row r="6" spans="10:12" x14ac:dyDescent="0.2">
      <c r="J6" t="s">
        <v>4</v>
      </c>
      <c r="K6" s="2">
        <v>2879</v>
      </c>
      <c r="L6" s="3">
        <v>45443</v>
      </c>
    </row>
    <row r="7" spans="10:12" x14ac:dyDescent="0.2">
      <c r="J7" t="s">
        <v>5</v>
      </c>
      <c r="K7" s="2">
        <f>+K4-K5+K6</f>
        <v>12900.97112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C69BD-F8BD-4DF3-84C6-FF0D261E71AB}">
  <dimension ref="A1:X24"/>
  <sheetViews>
    <sheetView tabSelected="1" zoomScaleNormal="100" workbookViewId="0">
      <pane xSplit="2" ySplit="3" topLeftCell="F4" activePane="bottomRight" state="frozen"/>
      <selection pane="topRight" activeCell="C1" sqref="C1"/>
      <selection pane="bottomLeft" activeCell="A3" sqref="A3"/>
      <selection pane="bottomRight" activeCell="O18" sqref="O18"/>
    </sheetView>
  </sheetViews>
  <sheetFormatPr defaultRowHeight="12.75" x14ac:dyDescent="0.2"/>
  <cols>
    <col min="1" max="1" width="5" bestFit="1" customWidth="1"/>
    <col min="2" max="2" width="18.140625" bestFit="1" customWidth="1"/>
    <col min="3" max="15" width="10.140625" style="4" bestFit="1" customWidth="1"/>
    <col min="17" max="22" width="10.140625" bestFit="1" customWidth="1"/>
    <col min="23" max="24" width="10.140625" style="4" bestFit="1" customWidth="1"/>
  </cols>
  <sheetData>
    <row r="1" spans="1:24" x14ac:dyDescent="0.2">
      <c r="A1" s="7" t="s">
        <v>6</v>
      </c>
    </row>
    <row r="2" spans="1:24" s="14" customFormat="1" x14ac:dyDescent="0.2">
      <c r="C2" s="15">
        <v>44439</v>
      </c>
      <c r="D2" s="15">
        <v>44530</v>
      </c>
      <c r="E2" s="15">
        <v>44620</v>
      </c>
      <c r="F2" s="15">
        <v>44712</v>
      </c>
      <c r="G2" s="15">
        <v>44804</v>
      </c>
      <c r="H2" s="15">
        <v>44895</v>
      </c>
      <c r="I2" s="15">
        <v>44985</v>
      </c>
      <c r="J2" s="15">
        <v>45077</v>
      </c>
      <c r="K2" s="15">
        <v>45169</v>
      </c>
      <c r="L2" s="15">
        <v>45260</v>
      </c>
      <c r="M2" s="15">
        <v>45351</v>
      </c>
      <c r="N2" s="15">
        <v>45443</v>
      </c>
      <c r="O2" s="15">
        <f>+K2+366</f>
        <v>45535</v>
      </c>
      <c r="Q2" s="14">
        <v>42978</v>
      </c>
      <c r="R2" s="14">
        <v>43343</v>
      </c>
      <c r="S2" s="15">
        <v>43708</v>
      </c>
      <c r="T2" s="15">
        <v>44074</v>
      </c>
      <c r="U2" s="15">
        <v>44439</v>
      </c>
      <c r="V2" s="15">
        <f>+G2</f>
        <v>44804</v>
      </c>
      <c r="W2" s="15">
        <f>+K2</f>
        <v>45169</v>
      </c>
      <c r="X2" s="15">
        <f>+O2</f>
        <v>45535</v>
      </c>
    </row>
    <row r="3" spans="1:24" x14ac:dyDescent="0.2">
      <c r="C3" s="4" t="s">
        <v>35</v>
      </c>
      <c r="D3" s="4" t="s">
        <v>31</v>
      </c>
      <c r="E3" s="4" t="s">
        <v>32</v>
      </c>
      <c r="F3" s="4" t="s">
        <v>33</v>
      </c>
      <c r="G3" s="4" t="s">
        <v>34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36</v>
      </c>
      <c r="Q3" s="4" t="s">
        <v>44</v>
      </c>
      <c r="R3" s="4" t="s">
        <v>43</v>
      </c>
      <c r="S3" s="4" t="s">
        <v>42</v>
      </c>
      <c r="T3" s="4" t="s">
        <v>41</v>
      </c>
      <c r="U3" s="4" t="s">
        <v>40</v>
      </c>
      <c r="V3" s="4" t="s">
        <v>39</v>
      </c>
      <c r="W3" s="4" t="s">
        <v>38</v>
      </c>
      <c r="X3" s="4" t="s">
        <v>37</v>
      </c>
    </row>
    <row r="4" spans="1:24" s="8" customFormat="1" x14ac:dyDescent="0.2">
      <c r="B4" s="8" t="s">
        <v>7</v>
      </c>
      <c r="C4" s="9">
        <v>7409</v>
      </c>
      <c r="D4" s="9">
        <v>8567</v>
      </c>
      <c r="E4" s="9">
        <v>7553</v>
      </c>
      <c r="F4" s="9">
        <v>8328</v>
      </c>
      <c r="G4" s="9">
        <v>9030</v>
      </c>
      <c r="H4" s="9">
        <v>9635</v>
      </c>
      <c r="I4" s="9">
        <v>8134</v>
      </c>
      <c r="J4" s="9">
        <v>8475</v>
      </c>
      <c r="K4" s="9">
        <v>8458</v>
      </c>
      <c r="L4" s="9">
        <v>8387</v>
      </c>
      <c r="M4" s="9">
        <v>6767</v>
      </c>
      <c r="N4" s="9">
        <v>6765</v>
      </c>
      <c r="O4" s="9">
        <v>6600</v>
      </c>
      <c r="Q4" s="8">
        <v>19063.120999999999</v>
      </c>
      <c r="R4" s="8">
        <v>22095.416000000001</v>
      </c>
      <c r="S4" s="8">
        <v>25282</v>
      </c>
      <c r="T4" s="8">
        <v>27266</v>
      </c>
      <c r="U4" s="8">
        <v>29285</v>
      </c>
      <c r="V4" s="8">
        <f>SUM(D4:G4)</f>
        <v>33478</v>
      </c>
      <c r="W4" s="9">
        <f>SUM(H4:K4)</f>
        <v>34702</v>
      </c>
      <c r="X4" s="9">
        <f>SUM(L4:O4)</f>
        <v>28519</v>
      </c>
    </row>
    <row r="5" spans="1:24" s="2" customFormat="1" x14ac:dyDescent="0.2">
      <c r="B5" s="2" t="s">
        <v>17</v>
      </c>
      <c r="C5" s="6">
        <v>6822</v>
      </c>
      <c r="D5" s="6">
        <v>7892</v>
      </c>
      <c r="E5" s="6">
        <v>6944</v>
      </c>
      <c r="F5" s="6">
        <v>7709</v>
      </c>
      <c r="G5" s="6">
        <v>8301</v>
      </c>
      <c r="H5" s="6">
        <v>8892</v>
      </c>
      <c r="I5" s="6">
        <v>7473</v>
      </c>
      <c r="J5" s="6">
        <v>7778</v>
      </c>
      <c r="K5" s="6">
        <v>7692</v>
      </c>
      <c r="L5" s="6">
        <v>7612</v>
      </c>
      <c r="M5" s="6">
        <v>6137</v>
      </c>
      <c r="N5" s="6">
        <v>6157</v>
      </c>
      <c r="O5" s="6">
        <f>+O4*0.93</f>
        <v>6138</v>
      </c>
      <c r="Q5" s="2">
        <v>17517.477999999999</v>
      </c>
      <c r="R5" s="2">
        <v>20388.624</v>
      </c>
      <c r="S5" s="2">
        <v>23369</v>
      </c>
      <c r="T5" s="2">
        <v>25335</v>
      </c>
      <c r="U5" s="2">
        <v>26926</v>
      </c>
      <c r="V5" s="2">
        <f>SUM(D5:G5)</f>
        <v>30846</v>
      </c>
      <c r="W5" s="6">
        <f>SUM(H5:K5)</f>
        <v>31835</v>
      </c>
      <c r="X5" s="6">
        <f>SUM(L5:O5)</f>
        <v>26044</v>
      </c>
    </row>
    <row r="6" spans="1:24" s="2" customFormat="1" x14ac:dyDescent="0.2">
      <c r="B6" s="2" t="s">
        <v>18</v>
      </c>
      <c r="C6" s="6">
        <f t="shared" ref="C6:O6" si="0">+C4-C5</f>
        <v>587</v>
      </c>
      <c r="D6" s="6">
        <f t="shared" si="0"/>
        <v>675</v>
      </c>
      <c r="E6" s="6">
        <f t="shared" si="0"/>
        <v>609</v>
      </c>
      <c r="F6" s="6">
        <f t="shared" si="0"/>
        <v>619</v>
      </c>
      <c r="G6" s="6">
        <f t="shared" si="0"/>
        <v>729</v>
      </c>
      <c r="H6" s="6">
        <f t="shared" si="0"/>
        <v>743</v>
      </c>
      <c r="I6" s="6">
        <f t="shared" si="0"/>
        <v>661</v>
      </c>
      <c r="J6" s="6">
        <f t="shared" si="0"/>
        <v>697</v>
      </c>
      <c r="K6" s="6">
        <f t="shared" si="0"/>
        <v>766</v>
      </c>
      <c r="L6" s="6">
        <f t="shared" si="0"/>
        <v>775</v>
      </c>
      <c r="M6" s="6">
        <f t="shared" si="0"/>
        <v>630</v>
      </c>
      <c r="N6" s="6">
        <f t="shared" si="0"/>
        <v>608</v>
      </c>
      <c r="O6" s="6">
        <f t="shared" si="0"/>
        <v>462</v>
      </c>
      <c r="Q6" s="2">
        <f t="shared" ref="Q6:X6" si="1">+Q4-Q5</f>
        <v>1545.643</v>
      </c>
      <c r="R6" s="2">
        <f t="shared" si="1"/>
        <v>1706.7920000000013</v>
      </c>
      <c r="S6" s="2">
        <f t="shared" si="1"/>
        <v>1913</v>
      </c>
      <c r="T6" s="2">
        <f t="shared" si="1"/>
        <v>1931</v>
      </c>
      <c r="U6" s="2">
        <f t="shared" si="1"/>
        <v>2359</v>
      </c>
      <c r="V6" s="2">
        <f t="shared" si="1"/>
        <v>2632</v>
      </c>
      <c r="W6" s="2">
        <f t="shared" si="1"/>
        <v>2867</v>
      </c>
      <c r="X6" s="2">
        <f t="shared" si="1"/>
        <v>2475</v>
      </c>
    </row>
    <row r="7" spans="1:24" x14ac:dyDescent="0.2">
      <c r="B7" s="2" t="s">
        <v>23</v>
      </c>
      <c r="C7" s="4">
        <v>299</v>
      </c>
      <c r="D7" s="4">
        <v>308</v>
      </c>
      <c r="E7" s="4">
        <v>280</v>
      </c>
      <c r="F7" s="4">
        <v>282</v>
      </c>
      <c r="G7" s="4">
        <v>284</v>
      </c>
      <c r="H7" s="4">
        <v>319</v>
      </c>
      <c r="I7" s="4">
        <v>285</v>
      </c>
      <c r="J7" s="4">
        <v>307</v>
      </c>
      <c r="K7" s="4">
        <v>295</v>
      </c>
      <c r="L7" s="4">
        <v>314</v>
      </c>
      <c r="M7" s="4">
        <v>308</v>
      </c>
      <c r="N7" s="4">
        <v>268</v>
      </c>
      <c r="Q7" s="6">
        <v>907.702</v>
      </c>
      <c r="R7" s="6">
        <v>1050.7159999999999</v>
      </c>
      <c r="S7" s="2">
        <v>1111</v>
      </c>
      <c r="T7" s="2">
        <v>1175</v>
      </c>
      <c r="U7" s="2">
        <v>1213</v>
      </c>
      <c r="V7" s="2">
        <f>SUM(D7:G7)</f>
        <v>1154</v>
      </c>
      <c r="W7" s="6">
        <f>SUM(H7:K7)</f>
        <v>1206</v>
      </c>
      <c r="X7" s="6">
        <f>SUM(L7:O7)</f>
        <v>890</v>
      </c>
    </row>
    <row r="8" spans="1:24" x14ac:dyDescent="0.2">
      <c r="B8" s="2" t="s">
        <v>24</v>
      </c>
      <c r="C8" s="4">
        <v>7</v>
      </c>
      <c r="D8" s="4">
        <v>9</v>
      </c>
      <c r="E8" s="4">
        <v>8</v>
      </c>
      <c r="F8" s="4">
        <v>8</v>
      </c>
      <c r="G8" s="4">
        <v>8</v>
      </c>
      <c r="H8" s="4">
        <v>9</v>
      </c>
      <c r="I8" s="4">
        <v>8</v>
      </c>
      <c r="J8" s="4">
        <v>8</v>
      </c>
      <c r="K8" s="4">
        <v>9</v>
      </c>
      <c r="L8" s="4">
        <v>10</v>
      </c>
      <c r="M8" s="4">
        <v>10</v>
      </c>
      <c r="N8" s="4">
        <v>9</v>
      </c>
      <c r="Q8" s="6">
        <v>29.68</v>
      </c>
      <c r="R8" s="6">
        <v>38.530999999999999</v>
      </c>
      <c r="S8" s="2">
        <v>43</v>
      </c>
      <c r="T8" s="2">
        <v>43</v>
      </c>
      <c r="U8" s="2">
        <v>34</v>
      </c>
      <c r="V8" s="2">
        <f>SUM(D8:G8)</f>
        <v>33</v>
      </c>
      <c r="W8" s="6">
        <f>SUM(H8:K8)</f>
        <v>34</v>
      </c>
      <c r="X8" s="6">
        <f>SUM(L8:O8)</f>
        <v>29</v>
      </c>
    </row>
    <row r="9" spans="1:24" x14ac:dyDescent="0.2">
      <c r="B9" s="2" t="s">
        <v>22</v>
      </c>
      <c r="C9" s="4">
        <f t="shared" ref="C9:N9" si="2">+C7+C8</f>
        <v>306</v>
      </c>
      <c r="D9" s="4">
        <f t="shared" si="2"/>
        <v>317</v>
      </c>
      <c r="E9" s="4">
        <f t="shared" si="2"/>
        <v>288</v>
      </c>
      <c r="F9" s="4">
        <f t="shared" si="2"/>
        <v>290</v>
      </c>
      <c r="G9" s="4">
        <f t="shared" si="2"/>
        <v>292</v>
      </c>
      <c r="H9" s="4">
        <f t="shared" si="2"/>
        <v>328</v>
      </c>
      <c r="I9" s="4">
        <f t="shared" si="2"/>
        <v>293</v>
      </c>
      <c r="J9" s="4">
        <f t="shared" si="2"/>
        <v>315</v>
      </c>
      <c r="K9" s="4">
        <f t="shared" si="2"/>
        <v>304</v>
      </c>
      <c r="L9" s="4">
        <f t="shared" si="2"/>
        <v>324</v>
      </c>
      <c r="M9" s="4">
        <f t="shared" si="2"/>
        <v>318</v>
      </c>
      <c r="N9" s="4">
        <f t="shared" si="2"/>
        <v>277</v>
      </c>
      <c r="Q9" s="2">
        <f t="shared" ref="Q9:R9" si="3">+Q7+Q8</f>
        <v>937.38199999999995</v>
      </c>
      <c r="R9" s="2">
        <f t="shared" si="3"/>
        <v>1089.2469999999998</v>
      </c>
      <c r="S9" s="2">
        <f t="shared" ref="S9:X9" si="4">+S7+S8</f>
        <v>1154</v>
      </c>
      <c r="T9" s="2">
        <f t="shared" si="4"/>
        <v>1218</v>
      </c>
      <c r="U9" s="2">
        <f t="shared" si="4"/>
        <v>1247</v>
      </c>
      <c r="V9" s="2">
        <f t="shared" si="4"/>
        <v>1187</v>
      </c>
      <c r="W9" s="2">
        <f t="shared" si="4"/>
        <v>1240</v>
      </c>
      <c r="X9" s="2">
        <f t="shared" si="4"/>
        <v>919</v>
      </c>
    </row>
    <row r="10" spans="1:24" x14ac:dyDescent="0.2">
      <c r="B10" t="s">
        <v>21</v>
      </c>
      <c r="C10" s="6">
        <f t="shared" ref="C10:N10" si="5">+C6-C9</f>
        <v>281</v>
      </c>
      <c r="D10" s="6">
        <f t="shared" si="5"/>
        <v>358</v>
      </c>
      <c r="E10" s="6">
        <f t="shared" si="5"/>
        <v>321</v>
      </c>
      <c r="F10" s="6">
        <f t="shared" si="5"/>
        <v>329</v>
      </c>
      <c r="G10" s="6">
        <f t="shared" si="5"/>
        <v>437</v>
      </c>
      <c r="H10" s="6">
        <f t="shared" si="5"/>
        <v>415</v>
      </c>
      <c r="I10" s="6">
        <f t="shared" si="5"/>
        <v>368</v>
      </c>
      <c r="J10" s="6">
        <f t="shared" si="5"/>
        <v>382</v>
      </c>
      <c r="K10" s="6">
        <f t="shared" si="5"/>
        <v>462</v>
      </c>
      <c r="L10" s="6">
        <f t="shared" si="5"/>
        <v>451</v>
      </c>
      <c r="M10" s="6">
        <f t="shared" si="5"/>
        <v>312</v>
      </c>
      <c r="N10" s="6">
        <f t="shared" si="5"/>
        <v>331</v>
      </c>
      <c r="Q10" s="2">
        <f t="shared" ref="Q10:R10" si="6">+Q6-Q9</f>
        <v>608.26100000000008</v>
      </c>
      <c r="R10" s="2">
        <f t="shared" si="6"/>
        <v>617.54500000000144</v>
      </c>
      <c r="S10" s="2">
        <f t="shared" ref="S10:X10" si="7">+S6-S9</f>
        <v>759</v>
      </c>
      <c r="T10" s="2">
        <f t="shared" si="7"/>
        <v>713</v>
      </c>
      <c r="U10" s="2">
        <f t="shared" si="7"/>
        <v>1112</v>
      </c>
      <c r="V10" s="2">
        <f t="shared" si="7"/>
        <v>1445</v>
      </c>
      <c r="W10" s="2">
        <f t="shared" si="7"/>
        <v>1627</v>
      </c>
      <c r="X10" s="2">
        <f t="shared" si="7"/>
        <v>1556</v>
      </c>
    </row>
    <row r="11" spans="1:24" x14ac:dyDescent="0.2">
      <c r="B11" t="s">
        <v>20</v>
      </c>
      <c r="C11" s="4">
        <v>-28</v>
      </c>
      <c r="D11" s="4">
        <v>-33</v>
      </c>
      <c r="E11" s="4">
        <v>-62</v>
      </c>
      <c r="F11" s="4">
        <f>-4-39</f>
        <v>-43</v>
      </c>
      <c r="G11" s="4">
        <v>-57</v>
      </c>
      <c r="H11" s="4">
        <f>-15-48</f>
        <v>-63</v>
      </c>
      <c r="I11" s="4">
        <f>-17-55</f>
        <v>-72</v>
      </c>
      <c r="J11" s="4">
        <f>-18-51</f>
        <v>-69</v>
      </c>
      <c r="K11" s="4">
        <v>-71</v>
      </c>
      <c r="L11" s="4">
        <f>-21-47</f>
        <v>-68</v>
      </c>
      <c r="M11" s="4">
        <f>-22-47</f>
        <v>-69</v>
      </c>
      <c r="N11" s="4">
        <f>-22-38</f>
        <v>-60</v>
      </c>
      <c r="Q11" s="2">
        <v>-138.07400000000001</v>
      </c>
      <c r="R11" s="2">
        <v>-149.00200000000001</v>
      </c>
      <c r="S11" s="2">
        <v>-188</v>
      </c>
      <c r="T11" s="2">
        <v>-174</v>
      </c>
      <c r="U11" s="2">
        <v>-124</v>
      </c>
      <c r="V11" s="2">
        <f>SUM(D11:G11)</f>
        <v>-195</v>
      </c>
      <c r="W11" s="6">
        <f>SUM(H11:K11)</f>
        <v>-275</v>
      </c>
      <c r="X11" s="6">
        <f>SUM(L11:O11)</f>
        <v>-197</v>
      </c>
    </row>
    <row r="12" spans="1:24" x14ac:dyDescent="0.2">
      <c r="B12" t="s">
        <v>19</v>
      </c>
      <c r="C12" s="6">
        <f t="shared" ref="C12:N12" si="8">+C10+C11</f>
        <v>253</v>
      </c>
      <c r="D12" s="6">
        <f t="shared" si="8"/>
        <v>325</v>
      </c>
      <c r="E12" s="6">
        <f t="shared" si="8"/>
        <v>259</v>
      </c>
      <c r="F12" s="6">
        <f t="shared" si="8"/>
        <v>286</v>
      </c>
      <c r="G12" s="6">
        <f t="shared" si="8"/>
        <v>380</v>
      </c>
      <c r="H12" s="6">
        <f t="shared" si="8"/>
        <v>352</v>
      </c>
      <c r="I12" s="6">
        <f t="shared" si="8"/>
        <v>296</v>
      </c>
      <c r="J12" s="6">
        <f t="shared" si="8"/>
        <v>313</v>
      </c>
      <c r="K12" s="6">
        <f t="shared" si="8"/>
        <v>391</v>
      </c>
      <c r="L12" s="6">
        <f t="shared" si="8"/>
        <v>383</v>
      </c>
      <c r="M12" s="6">
        <f t="shared" si="8"/>
        <v>243</v>
      </c>
      <c r="N12" s="6">
        <f t="shared" si="8"/>
        <v>271</v>
      </c>
      <c r="Q12" s="2">
        <f t="shared" ref="Q12:X12" si="9">+Q10+Q11</f>
        <v>470.18700000000007</v>
      </c>
      <c r="R12" s="2">
        <f t="shared" si="9"/>
        <v>468.54300000000143</v>
      </c>
      <c r="S12" s="2">
        <f t="shared" si="9"/>
        <v>571</v>
      </c>
      <c r="T12" s="2">
        <f t="shared" si="9"/>
        <v>539</v>
      </c>
      <c r="U12" s="2">
        <f t="shared" si="9"/>
        <v>988</v>
      </c>
      <c r="V12" s="2">
        <f t="shared" si="9"/>
        <v>1250</v>
      </c>
      <c r="W12" s="2">
        <f t="shared" si="9"/>
        <v>1352</v>
      </c>
      <c r="X12" s="2">
        <f t="shared" si="9"/>
        <v>1359</v>
      </c>
    </row>
    <row r="13" spans="1:24" x14ac:dyDescent="0.2">
      <c r="B13" t="s">
        <v>25</v>
      </c>
      <c r="C13" s="4">
        <v>62</v>
      </c>
      <c r="D13" s="4">
        <v>76</v>
      </c>
      <c r="E13" s="4">
        <v>62</v>
      </c>
      <c r="F13" s="4">
        <v>60</v>
      </c>
      <c r="G13" s="4">
        <v>37</v>
      </c>
      <c r="H13" s="6">
        <v>76</v>
      </c>
      <c r="I13" s="6">
        <v>80</v>
      </c>
      <c r="J13" s="6">
        <v>73</v>
      </c>
      <c r="K13" s="4">
        <v>215</v>
      </c>
      <c r="L13" s="6">
        <v>41</v>
      </c>
      <c r="M13" s="6">
        <v>135</v>
      </c>
      <c r="N13" s="6">
        <v>72</v>
      </c>
      <c r="Q13" s="6">
        <v>129.066</v>
      </c>
      <c r="R13" s="6">
        <v>285.86</v>
      </c>
      <c r="S13" s="2">
        <f>162+2</f>
        <v>164</v>
      </c>
      <c r="T13" s="2">
        <f>246+2</f>
        <v>248</v>
      </c>
      <c r="U13" s="2">
        <f>246+2</f>
        <v>248</v>
      </c>
      <c r="V13" s="2">
        <f>SUM(D13:G13)</f>
        <v>235</v>
      </c>
      <c r="W13" s="6">
        <f>SUM(H13:K13)</f>
        <v>444</v>
      </c>
      <c r="X13" s="6">
        <f>SUM(L13:O13)</f>
        <v>248</v>
      </c>
    </row>
    <row r="14" spans="1:24" x14ac:dyDescent="0.2">
      <c r="B14" t="s">
        <v>26</v>
      </c>
      <c r="C14" s="6">
        <f t="shared" ref="C14:N14" si="10">+C12-C13</f>
        <v>191</v>
      </c>
      <c r="D14" s="6">
        <f t="shared" si="10"/>
        <v>249</v>
      </c>
      <c r="E14" s="6">
        <f t="shared" si="10"/>
        <v>197</v>
      </c>
      <c r="F14" s="6">
        <f t="shared" si="10"/>
        <v>226</v>
      </c>
      <c r="G14" s="6">
        <f t="shared" si="10"/>
        <v>343</v>
      </c>
      <c r="H14" s="6">
        <f t="shared" si="10"/>
        <v>276</v>
      </c>
      <c r="I14" s="6">
        <f t="shared" si="10"/>
        <v>216</v>
      </c>
      <c r="J14" s="6">
        <f t="shared" si="10"/>
        <v>240</v>
      </c>
      <c r="K14" s="6">
        <f t="shared" si="10"/>
        <v>176</v>
      </c>
      <c r="L14" s="6">
        <f t="shared" si="10"/>
        <v>342</v>
      </c>
      <c r="M14" s="6">
        <f t="shared" si="10"/>
        <v>108</v>
      </c>
      <c r="N14" s="6">
        <f t="shared" si="10"/>
        <v>199</v>
      </c>
      <c r="Q14" s="2">
        <f t="shared" ref="Q14:X14" si="11">+Q12-Q13</f>
        <v>341.12100000000009</v>
      </c>
      <c r="R14" s="2">
        <f t="shared" si="11"/>
        <v>182.68300000000141</v>
      </c>
      <c r="S14" s="2">
        <f t="shared" si="11"/>
        <v>407</v>
      </c>
      <c r="T14" s="2">
        <f t="shared" si="11"/>
        <v>291</v>
      </c>
      <c r="U14" s="2">
        <f t="shared" si="11"/>
        <v>740</v>
      </c>
      <c r="V14" s="2">
        <f t="shared" si="11"/>
        <v>1015</v>
      </c>
      <c r="W14" s="2">
        <f t="shared" si="11"/>
        <v>908</v>
      </c>
      <c r="X14" s="2">
        <f t="shared" si="11"/>
        <v>1111</v>
      </c>
    </row>
    <row r="15" spans="1:24" x14ac:dyDescent="0.2">
      <c r="B15" t="s">
        <v>27</v>
      </c>
      <c r="C15" s="10">
        <f t="shared" ref="C15:N15" si="12">+C14/C16</f>
        <v>1.2724850099933378</v>
      </c>
      <c r="D15" s="10">
        <f t="shared" si="12"/>
        <v>1.6858496953283684</v>
      </c>
      <c r="E15" s="10">
        <f t="shared" si="12"/>
        <v>1.3456284153005464</v>
      </c>
      <c r="F15" s="10">
        <f t="shared" si="12"/>
        <v>1.5771109560362875</v>
      </c>
      <c r="G15" s="10">
        <f t="shared" si="12"/>
        <v>2.4447612259444047</v>
      </c>
      <c r="H15" s="10">
        <f t="shared" si="12"/>
        <v>2</v>
      </c>
      <c r="I15" s="10">
        <f t="shared" si="12"/>
        <v>1.5847395451210564</v>
      </c>
      <c r="J15" s="10">
        <f t="shared" si="12"/>
        <v>1.7764618800888232</v>
      </c>
      <c r="K15" s="10">
        <f t="shared" si="12"/>
        <v>1.3124533929903057</v>
      </c>
      <c r="L15" s="10">
        <f t="shared" si="12"/>
        <v>2.5889477668433005</v>
      </c>
      <c r="M15" s="10">
        <f t="shared" si="12"/>
        <v>0.85106382978723405</v>
      </c>
      <c r="N15" s="10">
        <f t="shared" si="12"/>
        <v>1.6351684470008216</v>
      </c>
      <c r="Q15" s="1">
        <f t="shared" ref="Q15:R15" si="13">+Q14/Q16</f>
        <v>1.8355826042036618</v>
      </c>
      <c r="R15" s="1">
        <f t="shared" si="13"/>
        <v>1.0436404561138994</v>
      </c>
      <c r="S15" s="1">
        <f t="shared" ref="S15:X15" si="14">+S14/S16</f>
        <v>2.5662042875157631</v>
      </c>
      <c r="T15" s="1">
        <f t="shared" si="14"/>
        <v>1.9132149901380671</v>
      </c>
      <c r="U15" s="1">
        <f t="shared" si="14"/>
        <v>4.8652202498356347</v>
      </c>
      <c r="V15" s="1">
        <f t="shared" si="14"/>
        <v>7.0278691362298762</v>
      </c>
      <c r="W15" s="1">
        <f t="shared" si="14"/>
        <v>6.6826126954921801</v>
      </c>
      <c r="X15" s="1">
        <f t="shared" si="14"/>
        <v>8.7549251379038626</v>
      </c>
    </row>
    <row r="16" spans="1:24" s="2" customFormat="1" x14ac:dyDescent="0.2">
      <c r="B16" s="2" t="s">
        <v>1</v>
      </c>
      <c r="C16" s="6">
        <v>150.1</v>
      </c>
      <c r="D16" s="6">
        <v>147.69999999999999</v>
      </c>
      <c r="E16" s="6">
        <v>146.4</v>
      </c>
      <c r="F16" s="6">
        <v>143.30000000000001</v>
      </c>
      <c r="G16" s="6">
        <v>140.30000000000001</v>
      </c>
      <c r="H16" s="6">
        <v>138</v>
      </c>
      <c r="I16" s="6">
        <v>136.30000000000001</v>
      </c>
      <c r="J16" s="6">
        <v>135.1</v>
      </c>
      <c r="K16" s="6">
        <v>134.1</v>
      </c>
      <c r="L16" s="6">
        <v>132.1</v>
      </c>
      <c r="M16" s="6">
        <v>126.9</v>
      </c>
      <c r="N16" s="6">
        <v>121.7</v>
      </c>
      <c r="O16" s="6"/>
      <c r="Q16" s="2">
        <v>185.83799999999999</v>
      </c>
      <c r="R16" s="2">
        <v>175.04400000000001</v>
      </c>
      <c r="S16" s="2">
        <v>158.6</v>
      </c>
      <c r="T16" s="2">
        <v>152.1</v>
      </c>
      <c r="U16" s="2">
        <v>152.1</v>
      </c>
      <c r="V16" s="2">
        <f>AVERAGE(D16:G16)</f>
        <v>144.42500000000001</v>
      </c>
      <c r="W16" s="6">
        <f>AVERAGE(H16:K16)</f>
        <v>135.875</v>
      </c>
      <c r="X16" s="6">
        <f>AVERAGE(L16:O16)</f>
        <v>126.89999999999999</v>
      </c>
    </row>
    <row r="18" spans="2:24" s="11" customFormat="1" x14ac:dyDescent="0.2">
      <c r="B18" s="11" t="s">
        <v>15</v>
      </c>
      <c r="C18" s="12"/>
      <c r="D18" s="12"/>
      <c r="E18" s="12"/>
      <c r="F18" s="12"/>
      <c r="G18" s="13">
        <f t="shared" ref="G18:O18" si="15">G4/C4-1</f>
        <v>0.2187879605884735</v>
      </c>
      <c r="H18" s="13">
        <f t="shared" si="15"/>
        <v>0.12466440994513839</v>
      </c>
      <c r="I18" s="13">
        <f t="shared" si="15"/>
        <v>7.6923076923076872E-2</v>
      </c>
      <c r="J18" s="13">
        <f t="shared" si="15"/>
        <v>1.765129682997113E-2</v>
      </c>
      <c r="K18" s="13">
        <f t="shared" si="15"/>
        <v>-6.3344407530454006E-2</v>
      </c>
      <c r="L18" s="13">
        <f t="shared" si="15"/>
        <v>-0.12952776336273997</v>
      </c>
      <c r="M18" s="13">
        <f t="shared" si="15"/>
        <v>-0.16805999508237035</v>
      </c>
      <c r="N18" s="13">
        <f t="shared" si="15"/>
        <v>-0.2017699115044248</v>
      </c>
      <c r="O18" s="13">
        <f t="shared" si="15"/>
        <v>-0.21967368172144719</v>
      </c>
      <c r="R18" s="13">
        <f t="shared" ref="R18:W18" si="16">+R4/Q4-1</f>
        <v>0.15906603121283247</v>
      </c>
      <c r="S18" s="13">
        <f t="shared" si="16"/>
        <v>0.14421923533822567</v>
      </c>
      <c r="T18" s="13">
        <f t="shared" si="16"/>
        <v>7.8474804208527704E-2</v>
      </c>
      <c r="U18" s="13">
        <f t="shared" si="16"/>
        <v>7.4048265238758848E-2</v>
      </c>
      <c r="V18" s="13">
        <f t="shared" si="16"/>
        <v>0.14317910192931538</v>
      </c>
      <c r="W18" s="13">
        <f t="shared" si="16"/>
        <v>3.6561323854471528E-2</v>
      </c>
      <c r="X18" s="13">
        <f>+X4/W4-1</f>
        <v>-0.17817416863581348</v>
      </c>
    </row>
    <row r="19" spans="2:24" x14ac:dyDescent="0.2">
      <c r="B19" t="s">
        <v>16</v>
      </c>
      <c r="C19" s="5">
        <f t="shared" ref="C19:O19" si="17">+C6/C4</f>
        <v>7.9227965987312729E-2</v>
      </c>
      <c r="D19" s="5">
        <f t="shared" si="17"/>
        <v>7.8790708532741921E-2</v>
      </c>
      <c r="E19" s="5">
        <f t="shared" si="17"/>
        <v>8.0630213160333641E-2</v>
      </c>
      <c r="F19" s="5">
        <f t="shared" si="17"/>
        <v>7.432756964457253E-2</v>
      </c>
      <c r="G19" s="5">
        <f t="shared" si="17"/>
        <v>8.0730897009966773E-2</v>
      </c>
      <c r="H19" s="5">
        <f t="shared" si="17"/>
        <v>7.7114686040477429E-2</v>
      </c>
      <c r="I19" s="5">
        <f t="shared" si="17"/>
        <v>8.1263830833538234E-2</v>
      </c>
      <c r="J19" s="5">
        <f t="shared" si="17"/>
        <v>8.2241887905604716E-2</v>
      </c>
      <c r="K19" s="5">
        <f t="shared" si="17"/>
        <v>9.0565145424450225E-2</v>
      </c>
      <c r="L19" s="5">
        <f t="shared" si="17"/>
        <v>9.240491236437344E-2</v>
      </c>
      <c r="M19" s="5">
        <f t="shared" si="17"/>
        <v>9.3098862125018472E-2</v>
      </c>
      <c r="N19" s="5">
        <f t="shared" si="17"/>
        <v>8.9874353288987435E-2</v>
      </c>
      <c r="O19" s="5">
        <f t="shared" si="17"/>
        <v>7.0000000000000007E-2</v>
      </c>
      <c r="Q19" s="5">
        <f t="shared" ref="Q19:R19" si="18">+Q6/Q4</f>
        <v>8.1080270119462602E-2</v>
      </c>
      <c r="R19" s="5">
        <f t="shared" si="18"/>
        <v>7.7246429757194937E-2</v>
      </c>
      <c r="S19" s="5">
        <f>+S6/S4</f>
        <v>7.5666482082113753E-2</v>
      </c>
      <c r="T19" s="5">
        <f>+T6/T4</f>
        <v>7.0820802464607938E-2</v>
      </c>
      <c r="U19" s="5">
        <f t="shared" ref="U19:X19" si="19">+U6/U4</f>
        <v>8.0553184224005467E-2</v>
      </c>
      <c r="V19" s="5">
        <f t="shared" si="19"/>
        <v>7.8618794432164407E-2</v>
      </c>
      <c r="W19" s="5">
        <f t="shared" si="19"/>
        <v>8.2617716558123458E-2</v>
      </c>
      <c r="X19" s="5">
        <f t="shared" si="19"/>
        <v>8.6784249097093161E-2</v>
      </c>
    </row>
    <row r="22" spans="2:24" s="2" customFormat="1" x14ac:dyDescent="0.2">
      <c r="B22" s="2" t="s">
        <v>28</v>
      </c>
      <c r="C22" s="6"/>
      <c r="D22" s="6">
        <v>166</v>
      </c>
      <c r="E22" s="6">
        <f>580-D22</f>
        <v>414</v>
      </c>
      <c r="F22" s="6">
        <f>1048-E22-D22</f>
        <v>468</v>
      </c>
      <c r="G22" s="6">
        <f>1651-F22-E22-D22</f>
        <v>603</v>
      </c>
      <c r="H22" s="6">
        <v>166</v>
      </c>
      <c r="I22" s="6">
        <f>580-H22</f>
        <v>414</v>
      </c>
      <c r="J22" s="6">
        <f>1048-I22-H22</f>
        <v>468</v>
      </c>
      <c r="K22" s="6">
        <f>1734-J22-I22-H22</f>
        <v>686</v>
      </c>
      <c r="L22" s="6">
        <v>448</v>
      </c>
      <c r="M22" s="6">
        <f>666-L22</f>
        <v>218</v>
      </c>
      <c r="N22" s="6">
        <f>1181-M22-L22</f>
        <v>515</v>
      </c>
      <c r="O22" s="6"/>
      <c r="V22" s="2">
        <v>1433</v>
      </c>
      <c r="W22" s="6">
        <v>1651</v>
      </c>
      <c r="X22" s="6">
        <v>1734</v>
      </c>
    </row>
    <row r="23" spans="2:24" x14ac:dyDescent="0.2">
      <c r="B23" t="s">
        <v>29</v>
      </c>
      <c r="D23" s="4">
        <v>314</v>
      </c>
      <c r="E23" s="4">
        <f>637-D23</f>
        <v>323</v>
      </c>
      <c r="F23" s="4">
        <f>860-E23-D23</f>
        <v>223</v>
      </c>
      <c r="G23" s="4">
        <f>1385-F23-E23-D23</f>
        <v>525</v>
      </c>
      <c r="H23" s="4">
        <v>314</v>
      </c>
      <c r="I23" s="4">
        <f>637-H23</f>
        <v>323</v>
      </c>
      <c r="J23" s="4">
        <f>860-I23-H23</f>
        <v>223</v>
      </c>
      <c r="K23" s="4">
        <f>1030-J23-I23-H23</f>
        <v>170</v>
      </c>
      <c r="L23" s="4">
        <v>288</v>
      </c>
      <c r="M23" s="4">
        <f>554-L23</f>
        <v>266</v>
      </c>
      <c r="N23" s="4">
        <f>660-M23-L23</f>
        <v>106</v>
      </c>
      <c r="V23" s="2">
        <v>1159</v>
      </c>
      <c r="W23" s="6">
        <v>1385</v>
      </c>
      <c r="X23" s="6">
        <v>1030</v>
      </c>
    </row>
    <row r="24" spans="2:24" x14ac:dyDescent="0.2">
      <c r="B24" t="s">
        <v>30</v>
      </c>
      <c r="C24" s="6"/>
      <c r="D24" s="6">
        <f t="shared" ref="D24:N24" si="20">+D22-D23</f>
        <v>-148</v>
      </c>
      <c r="E24" s="6">
        <f t="shared" si="20"/>
        <v>91</v>
      </c>
      <c r="F24" s="6">
        <f t="shared" si="20"/>
        <v>245</v>
      </c>
      <c r="G24" s="6">
        <f t="shared" si="20"/>
        <v>78</v>
      </c>
      <c r="H24" s="6">
        <f t="shared" si="20"/>
        <v>-148</v>
      </c>
      <c r="I24" s="6">
        <f t="shared" si="20"/>
        <v>91</v>
      </c>
      <c r="J24" s="6">
        <f t="shared" si="20"/>
        <v>245</v>
      </c>
      <c r="K24" s="6">
        <f t="shared" si="20"/>
        <v>516</v>
      </c>
      <c r="L24" s="6">
        <f t="shared" si="20"/>
        <v>160</v>
      </c>
      <c r="M24" s="6">
        <f t="shared" si="20"/>
        <v>-48</v>
      </c>
      <c r="N24" s="6">
        <f t="shared" si="20"/>
        <v>409</v>
      </c>
      <c r="V24" s="2">
        <f>+V22-V23</f>
        <v>274</v>
      </c>
      <c r="W24" s="2">
        <f t="shared" ref="W24:X24" si="21">+W22-W23</f>
        <v>266</v>
      </c>
      <c r="X24" s="2">
        <f t="shared" si="21"/>
        <v>704</v>
      </c>
    </row>
  </sheetData>
  <hyperlinks>
    <hyperlink ref="A1" location="Main!A1" display="Main" xr:uid="{3327BEFD-7D98-4EAB-9155-75EE3D20DDEF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2024-09-10T17:56:03Z</dcterms:created>
  <dcterms:modified xsi:type="dcterms:W3CDTF">2025-10-13T14:10:48Z</dcterms:modified>
</cp:coreProperties>
</file>