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A70A004-5BC8-4051-8AD7-0738EECF5ECA}" xr6:coauthVersionLast="47" xr6:coauthVersionMax="47" xr10:uidLastSave="{00000000-0000-0000-0000-000000000000}"/>
  <bookViews>
    <workbookView xWindow="4215" yWindow="4065" windowWidth="18075" windowHeight="16020" activeTab="1" xr2:uid="{653FF38A-A2B1-4151-90B2-FFB9E7A87E0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L6" i="1"/>
  <c r="L5" i="1"/>
  <c r="L4" i="1"/>
  <c r="V10" i="2"/>
  <c r="U10" i="2"/>
  <c r="T10" i="2"/>
  <c r="V8" i="2"/>
  <c r="U8" i="2"/>
  <c r="T8" i="2"/>
  <c r="N7" i="2"/>
  <c r="N15" i="2" s="1"/>
  <c r="M7" i="2"/>
  <c r="M9" i="2" s="1"/>
  <c r="M11" i="2" s="1"/>
  <c r="L7" i="2"/>
  <c r="L9" i="2" s="1"/>
  <c r="L11" i="2" s="1"/>
  <c r="K7" i="2"/>
  <c r="K9" i="2" s="1"/>
  <c r="K11" i="2" s="1"/>
  <c r="J7" i="2"/>
  <c r="J9" i="2" s="1"/>
  <c r="J11" i="2" s="1"/>
  <c r="I7" i="2"/>
  <c r="I15" i="2" s="1"/>
  <c r="H7" i="2"/>
  <c r="H9" i="2" s="1"/>
  <c r="H11" i="2" s="1"/>
  <c r="G7" i="2"/>
  <c r="G9" i="2" s="1"/>
  <c r="G11" i="2" s="1"/>
  <c r="F7" i="2"/>
  <c r="F9" i="2" s="1"/>
  <c r="F11" i="2" s="1"/>
  <c r="E7" i="2"/>
  <c r="E15" i="2" s="1"/>
  <c r="D7" i="2"/>
  <c r="D9" i="2" s="1"/>
  <c r="D11" i="2" s="1"/>
  <c r="C7" i="2"/>
  <c r="C9" i="2" s="1"/>
  <c r="C11" i="2" s="1"/>
  <c r="V6" i="2"/>
  <c r="U6" i="2"/>
  <c r="T6" i="2"/>
  <c r="V4" i="2"/>
  <c r="U4" i="2"/>
  <c r="T4" i="2"/>
  <c r="T3" i="2"/>
  <c r="U3" i="2"/>
  <c r="V3" i="2"/>
  <c r="V13" i="2" s="1"/>
  <c r="M14" i="2"/>
  <c r="L14" i="2"/>
  <c r="K14" i="2"/>
  <c r="J14" i="2"/>
  <c r="I14" i="2"/>
  <c r="H14" i="2"/>
  <c r="G14" i="2"/>
  <c r="F14" i="2"/>
  <c r="E14" i="2"/>
  <c r="D14" i="2"/>
  <c r="C14" i="2"/>
  <c r="N14" i="2"/>
  <c r="M13" i="2"/>
  <c r="L13" i="2"/>
  <c r="K13" i="2"/>
  <c r="J13" i="2"/>
  <c r="I13" i="2"/>
  <c r="H13" i="2"/>
  <c r="G13" i="2"/>
  <c r="N13" i="2"/>
  <c r="S13" i="2" l="1"/>
  <c r="S14" i="2"/>
  <c r="G15" i="2"/>
  <c r="D15" i="2"/>
  <c r="R14" i="2"/>
  <c r="F15" i="2"/>
  <c r="E9" i="2"/>
  <c r="E11" i="2" s="1"/>
  <c r="K15" i="2"/>
  <c r="J15" i="2"/>
  <c r="L15" i="2"/>
  <c r="M15" i="2"/>
  <c r="I9" i="2"/>
  <c r="I11" i="2" s="1"/>
  <c r="C15" i="2"/>
  <c r="H15" i="2"/>
  <c r="N9" i="2"/>
  <c r="N11" i="2" s="1"/>
  <c r="T5" i="2"/>
  <c r="W3" i="2"/>
  <c r="W13" i="2" s="1"/>
  <c r="T13" i="2"/>
  <c r="L7" i="1"/>
  <c r="U5" i="2"/>
  <c r="V5" i="2"/>
  <c r="U13" i="2"/>
  <c r="S15" i="2" l="1"/>
  <c r="R15" i="2"/>
  <c r="V7" i="2"/>
  <c r="V14" i="2"/>
  <c r="W14" i="2"/>
  <c r="X3" i="2"/>
  <c r="W15" i="2"/>
  <c r="U7" i="2"/>
  <c r="U14" i="2"/>
  <c r="T7" i="2"/>
  <c r="T14" i="2"/>
  <c r="T15" i="2" l="1"/>
  <c r="T9" i="2"/>
  <c r="T11" i="2" s="1"/>
  <c r="U15" i="2"/>
  <c r="U9" i="2"/>
  <c r="U11" i="2" s="1"/>
  <c r="X15" i="2"/>
  <c r="Y3" i="2"/>
  <c r="X14" i="2"/>
  <c r="X13" i="2"/>
  <c r="V15" i="2"/>
  <c r="V9" i="2"/>
  <c r="V11" i="2" s="1"/>
  <c r="Z3" i="2" l="1"/>
  <c r="Y15" i="2"/>
  <c r="Y14" i="2"/>
  <c r="Y13" i="2"/>
  <c r="W11" i="2"/>
  <c r="X11" i="2" l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AA3" i="2"/>
  <c r="Z15" i="2"/>
  <c r="Z14" i="2"/>
  <c r="Z13" i="2"/>
  <c r="AA15" i="2" l="1"/>
  <c r="AA14" i="2"/>
  <c r="AA13" i="2"/>
  <c r="AB3" i="2"/>
  <c r="Y19" i="2"/>
  <c r="Y20" i="2" s="1"/>
  <c r="Y21" i="2" s="1"/>
  <c r="AB15" i="2" l="1"/>
  <c r="AB13" i="2"/>
  <c r="AB14" i="2"/>
  <c r="AC3" i="2"/>
  <c r="AD3" i="2" s="1"/>
</calcChain>
</file>

<file path=xl/sharedStrings.xml><?xml version="1.0" encoding="utf-8"?>
<sst xmlns="http://schemas.openxmlformats.org/spreadsheetml/2006/main" count="53" uniqueCount="38">
  <si>
    <t>Price</t>
  </si>
  <si>
    <t>Shares</t>
  </si>
  <si>
    <t>MC</t>
  </si>
  <si>
    <t>Cash</t>
  </si>
  <si>
    <t>Debt</t>
  </si>
  <si>
    <t>EV</t>
  </si>
  <si>
    <t>Operating Profit Margin</t>
  </si>
  <si>
    <t>Gross Profit Margin</t>
  </si>
  <si>
    <t>Net Income</t>
  </si>
  <si>
    <t>Income Taxes</t>
  </si>
  <si>
    <t>Pretax Income</t>
  </si>
  <si>
    <t>Other Income</t>
  </si>
  <si>
    <t>Operating Income</t>
  </si>
  <si>
    <t/>
  </si>
  <si>
    <t>SG&amp;A Expense</t>
  </si>
  <si>
    <t>Gross Profit</t>
  </si>
  <si>
    <t>COGS</t>
  </si>
  <si>
    <t>Revenue</t>
  </si>
  <si>
    <t>Q3 2023</t>
  </si>
  <si>
    <t>Q2 2023</t>
  </si>
  <si>
    <t>Q1 2023</t>
  </si>
  <si>
    <t>Q4 2022</t>
  </si>
  <si>
    <t>Q3 2022</t>
  </si>
  <si>
    <t>Q2 2022</t>
  </si>
  <si>
    <t>Q1 2022</t>
  </si>
  <si>
    <t>Main</t>
  </si>
  <si>
    <t>Q424</t>
  </si>
  <si>
    <t>Q324</t>
  </si>
  <si>
    <t>Q224</t>
  </si>
  <si>
    <t>Q124</t>
  </si>
  <si>
    <t>Q423</t>
  </si>
  <si>
    <t>Revenue y/y</t>
  </si>
  <si>
    <t>Maturity</t>
  </si>
  <si>
    <t>Discount</t>
  </si>
  <si>
    <t>NPV</t>
  </si>
  <si>
    <t>Share</t>
  </si>
  <si>
    <t>Q125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</si>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</sst>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9" fontId="3" fillId="0" borderId="0" xfId="1" applyNumberFormat="1" applyFont="1"/>
    <xf numFmtId="3" fontId="3" fillId="0" borderId="0" xfId="1" applyNumberFormat="1" applyFont="1"/>
    <xf numFmtId="3" fontId="4" fillId="0" borderId="0" xfId="1" applyNumberFormat="1" applyFont="1"/>
    <xf numFmtId="3" fontId="4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9" fontId="4" fillId="0" borderId="0" xfId="1" applyNumberFormat="1" applyFont="1" applyAlignment="1">
      <alignment horizontal="right"/>
    </xf>
    <xf numFmtId="0" fontId="1" fillId="0" borderId="0" xfId="1" applyFont="1"/>
    <xf numFmtId="10" fontId="1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9" fontId="1" fillId="0" borderId="0" xfId="1" applyNumberFormat="1" applyFont="1"/>
    <xf numFmtId="4" fontId="1" fillId="0" borderId="0" xfId="1" applyNumberFormat="1" applyFont="1"/>
    <xf numFmtId="3" fontId="1" fillId="0" borderId="0" xfId="1" applyNumberFormat="1" applyFont="1"/>
    <xf numFmtId="0" fontId="5" fillId="0" borderId="0" xfId="2"/>
  </cellXfs>
  <cellStyles count="3">
    <cellStyle name="Hyperlink" xfId="2" builtinId="8"/>
    <cellStyle name="Normal" xfId="0" builtinId="0"/>
    <cellStyle name="Normal 2" xfId="1" xr:uid="{F6035F98-7915-417D-ACB4-0B95C75F5B3C}"/>
  </cellStyles>
  <dxfs count="0"/>
  <tableStyles count="1" defaultTableStyle="TableStyleMedium2" defaultPivotStyle="PivotStyleLight16">
    <tableStyle name="Invisible" pivot="0" table="0" count="0" xr9:uid="{8F6C7065-C08C-45D2-8E55-D1DF6FED93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16329</xdr:colOff>
      <xdr:row>0</xdr:row>
      <xdr:rowOff>48986</xdr:rowOff>
    </xdr:from>
    <xdr:to>
      <xdr:col>14</xdr:col>
      <xdr:colOff>16329</xdr:colOff>
      <xdr:row>29</xdr:row>
      <xdr:rowOff>130629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50DD296-223C-3AC9-5A6D-C33C708AB9A0}"/>
            </a:ext>
          </a:extLst>
        </xdr:cNvPr>
        <xdr:cNvCxnSpPr/>
      </xdr:nvCxnSpPr>
      <xdr:spPr>
        <a:xfrm>
          <a:off x="41529000" y="48986"/>
          <a:ext cx="0" cy="5524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27215</xdr:colOff>
      <xdr:row>0</xdr:row>
      <xdr:rowOff>38100</xdr:rowOff>
    </xdr:from>
    <xdr:to>
      <xdr:col>22</xdr:col>
      <xdr:colOff>27215</xdr:colOff>
      <xdr:row>32</xdr:row>
      <xdr:rowOff>70757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BC63C02-FBBB-E30F-9F14-15E83F00E4D5}"/>
            </a:ext>
          </a:extLst>
        </xdr:cNvPr>
        <xdr:cNvCxnSpPr/>
      </xdr:nvCxnSpPr>
      <xdr:spPr>
        <a:xfrm>
          <a:off x="49464686" y="38100"/>
          <a:ext cx="0" cy="57204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757B-7F8D-4466-88CB-45013F9709DA}">
  <dimension ref="K2:M7"/>
  <sheetViews>
    <sheetView zoomScaleNormal="100" workbookViewId="0">
      <selection activeCell="K6" sqref="K6"/>
    </sheetView>
  </sheetViews>
  <sheetFormatPr defaultRowHeight="12.75" x14ac:dyDescent="0.2"/>
  <sheetData>
    <row r="2" spans="11:13" x14ac:dyDescent="0.2">
      <c r="K2" t="s">
        <v>0</v>
      </c>
      <c r="L2" s="1">
        <v>68.94</v>
      </c>
    </row>
    <row r="3" spans="11:13" x14ac:dyDescent="0.2">
      <c r="K3" t="s">
        <v>1</v>
      </c>
      <c r="L3" s="15">
        <v>4304.2667380000003</v>
      </c>
      <c r="M3" s="16" t="s">
        <v>36</v>
      </c>
    </row>
    <row r="4" spans="11:13" x14ac:dyDescent="0.2">
      <c r="K4" t="s">
        <v>2</v>
      </c>
      <c r="L4" s="15">
        <f>+L2*L3</f>
        <v>296736.14891772001</v>
      </c>
    </row>
    <row r="5" spans="11:13" x14ac:dyDescent="0.2">
      <c r="K5" t="s">
        <v>3</v>
      </c>
      <c r="L5" s="15">
        <f>8417+3579+1791+18369</f>
        <v>32156</v>
      </c>
      <c r="M5" s="16" t="s">
        <v>36</v>
      </c>
    </row>
    <row r="6" spans="11:13" x14ac:dyDescent="0.2">
      <c r="K6" t="s">
        <v>4</v>
      </c>
      <c r="L6" s="15">
        <f>5418+43530+163</f>
        <v>49111</v>
      </c>
      <c r="M6" s="16" t="s">
        <v>36</v>
      </c>
    </row>
    <row r="7" spans="11:13" x14ac:dyDescent="0.2">
      <c r="K7" t="s">
        <v>5</v>
      </c>
      <c r="L7" s="15">
        <f>+L4-L5+L6</f>
        <v>313691.14891772001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1E9C-EBF1-47F0-8616-A44ADEA820ED}">
  <dimension ref="A1:DX21"/>
  <sheetViews>
    <sheetView tabSelected="1" zoomScaleNormal="100" workbookViewId="0">
      <pane xSplit="2" ySplit="2" topLeftCell="O3" activePane="bottomRight" state="frozen"/>
      <selection pane="topRight"/>
      <selection pane="bottomLeft"/>
      <selection pane="bottomRight" activeCell="Y20" sqref="Y20"/>
    </sheetView>
  </sheetViews>
  <sheetFormatPr defaultColWidth="9.140625" defaultRowHeight="12.75" x14ac:dyDescent="0.2"/>
  <cols>
    <col min="1" max="1" width="5" style="13" bestFit="1" customWidth="1"/>
    <col min="2" max="2" width="25" style="2" customWidth="1"/>
    <col min="3" max="14" width="9" style="4" customWidth="1"/>
    <col min="15" max="16384" width="9.140625" style="13"/>
  </cols>
  <sheetData>
    <row r="1" spans="1:128" s="2" customFormat="1" x14ac:dyDescent="0.2">
      <c r="A1" s="20" t="s">
        <v>25</v>
      </c>
      <c r="B1" s="2" t="s">
        <v>13</v>
      </c>
      <c r="C1" s="4" t="s">
        <v>13</v>
      </c>
      <c r="D1" s="4" t="s">
        <v>13</v>
      </c>
      <c r="E1" s="4" t="s">
        <v>13</v>
      </c>
      <c r="F1" s="4" t="s">
        <v>13</v>
      </c>
      <c r="G1" s="4" t="s">
        <v>13</v>
      </c>
      <c r="H1" s="4" t="s">
        <v>13</v>
      </c>
      <c r="I1" s="4" t="s">
        <v>13</v>
      </c>
      <c r="J1" s="4" t="s">
        <v>13</v>
      </c>
      <c r="K1" s="4" t="s">
        <v>13</v>
      </c>
      <c r="L1" s="4" t="s">
        <v>13</v>
      </c>
      <c r="M1" s="4" t="s">
        <v>13</v>
      </c>
      <c r="N1" s="4" t="s">
        <v>13</v>
      </c>
    </row>
    <row r="2" spans="1:128" s="2" customFormat="1" x14ac:dyDescent="0.2">
      <c r="B2" s="2" t="s">
        <v>13</v>
      </c>
      <c r="C2" s="4" t="s">
        <v>24</v>
      </c>
      <c r="D2" s="4" t="s">
        <v>23</v>
      </c>
      <c r="E2" s="4" t="s">
        <v>22</v>
      </c>
      <c r="F2" s="4" t="s">
        <v>21</v>
      </c>
      <c r="G2" s="4" t="s">
        <v>20</v>
      </c>
      <c r="H2" s="4" t="s">
        <v>19</v>
      </c>
      <c r="I2" s="4" t="s">
        <v>18</v>
      </c>
      <c r="J2" s="4" t="s">
        <v>30</v>
      </c>
      <c r="K2" s="4" t="s">
        <v>29</v>
      </c>
      <c r="L2" s="4" t="s">
        <v>28</v>
      </c>
      <c r="M2" s="4" t="s">
        <v>27</v>
      </c>
      <c r="N2" s="4" t="s">
        <v>26</v>
      </c>
      <c r="R2" s="2">
        <v>2020</v>
      </c>
      <c r="S2" s="2">
        <f t="shared" ref="S2:AG2" si="0">+R2+1</f>
        <v>2021</v>
      </c>
      <c r="T2" s="2">
        <f>+S2+1</f>
        <v>2022</v>
      </c>
      <c r="U2" s="2">
        <f t="shared" si="0"/>
        <v>2023</v>
      </c>
      <c r="V2" s="2">
        <f t="shared" si="0"/>
        <v>2024</v>
      </c>
      <c r="W2" s="2">
        <f t="shared" si="0"/>
        <v>2025</v>
      </c>
      <c r="X2" s="2">
        <f t="shared" si="0"/>
        <v>2026</v>
      </c>
      <c r="Y2" s="2">
        <f t="shared" si="0"/>
        <v>2027</v>
      </c>
      <c r="Z2" s="2">
        <f t="shared" si="0"/>
        <v>2028</v>
      </c>
      <c r="AA2" s="2">
        <f t="shared" si="0"/>
        <v>2029</v>
      </c>
      <c r="AB2" s="2">
        <f t="shared" si="0"/>
        <v>2030</v>
      </c>
      <c r="AC2" s="2">
        <f t="shared" si="0"/>
        <v>2031</v>
      </c>
      <c r="AD2" s="2">
        <f t="shared" si="0"/>
        <v>2032</v>
      </c>
      <c r="AE2" s="2">
        <f t="shared" si="0"/>
        <v>2033</v>
      </c>
      <c r="AF2" s="2">
        <f t="shared" si="0"/>
        <v>2034</v>
      </c>
      <c r="AG2" s="2">
        <f t="shared" si="0"/>
        <v>2035</v>
      </c>
    </row>
    <row r="3" spans="1:128" s="8" customFormat="1" x14ac:dyDescent="0.2">
      <c r="B3" s="8" t="s">
        <v>17</v>
      </c>
      <c r="C3" s="9">
        <v>10491</v>
      </c>
      <c r="D3" s="9">
        <v>11325</v>
      </c>
      <c r="E3" s="9">
        <v>11063</v>
      </c>
      <c r="F3" s="9">
        <v>10125</v>
      </c>
      <c r="G3" s="9">
        <v>10980</v>
      </c>
      <c r="H3" s="9">
        <v>11972</v>
      </c>
      <c r="I3" s="9">
        <v>11953</v>
      </c>
      <c r="J3" s="9">
        <v>10849</v>
      </c>
      <c r="K3" s="9">
        <v>11300</v>
      </c>
      <c r="L3" s="9">
        <v>12363</v>
      </c>
      <c r="M3" s="9">
        <v>11854</v>
      </c>
      <c r="N3" s="9">
        <v>11544</v>
      </c>
      <c r="R3" s="19">
        <v>33014</v>
      </c>
      <c r="S3" s="19">
        <v>38655</v>
      </c>
      <c r="T3" s="8">
        <f>SUM(C3:F3)</f>
        <v>43004</v>
      </c>
      <c r="U3" s="8">
        <f>SUM(G3:J3)</f>
        <v>45754</v>
      </c>
      <c r="V3" s="8">
        <f>SUM(K3:N3)</f>
        <v>47061</v>
      </c>
      <c r="W3" s="8">
        <f>+V3*1.02</f>
        <v>48002.22</v>
      </c>
      <c r="X3" s="8">
        <f>+W3*1.02</f>
        <v>48962.2644</v>
      </c>
      <c r="Y3" s="8">
        <f t="shared" ref="Y3:AD3" si="1">+X3*1.02</f>
        <v>49941.509687999998</v>
      </c>
      <c r="Z3" s="8">
        <f t="shared" si="1"/>
        <v>50940.339881760003</v>
      </c>
      <c r="AA3" s="8">
        <f t="shared" si="1"/>
        <v>51959.146679395206</v>
      </c>
      <c r="AB3" s="8">
        <f t="shared" si="1"/>
        <v>52998.329612983114</v>
      </c>
      <c r="AC3" s="8">
        <f t="shared" si="1"/>
        <v>54058.296205242776</v>
      </c>
      <c r="AD3" s="8">
        <f t="shared" si="1"/>
        <v>55139.46212934763</v>
      </c>
    </row>
    <row r="4" spans="1:128" s="7" customFormat="1" x14ac:dyDescent="0.2">
      <c r="B4" s="7" t="s">
        <v>16</v>
      </c>
      <c r="C4" s="10">
        <v>4091</v>
      </c>
      <c r="D4" s="10">
        <v>4830</v>
      </c>
      <c r="E4" s="10">
        <v>4566</v>
      </c>
      <c r="F4" s="10">
        <v>4513</v>
      </c>
      <c r="G4" s="10">
        <v>4317</v>
      </c>
      <c r="H4" s="10">
        <v>4912</v>
      </c>
      <c r="I4" s="10">
        <v>4657</v>
      </c>
      <c r="J4" s="10">
        <v>4634</v>
      </c>
      <c r="K4" s="10">
        <v>4235</v>
      </c>
      <c r="L4" s="10">
        <v>4812</v>
      </c>
      <c r="M4" s="10">
        <v>4664</v>
      </c>
      <c r="N4" s="10">
        <v>4613</v>
      </c>
      <c r="R4" s="19">
        <v>13433</v>
      </c>
      <c r="S4" s="19">
        <v>15357</v>
      </c>
      <c r="T4" s="7">
        <f>SUM(C4:F4)</f>
        <v>18000</v>
      </c>
      <c r="U4" s="7">
        <f>SUM(G4:J4)</f>
        <v>18520</v>
      </c>
      <c r="V4" s="7">
        <f>SUM(K4:N4)</f>
        <v>18324</v>
      </c>
    </row>
    <row r="5" spans="1:128" s="7" customFormat="1" x14ac:dyDescent="0.2">
      <c r="B5" s="7" t="s">
        <v>15</v>
      </c>
      <c r="C5" s="10">
        <v>6400</v>
      </c>
      <c r="D5" s="10">
        <v>6495</v>
      </c>
      <c r="E5" s="10">
        <v>6497</v>
      </c>
      <c r="F5" s="10">
        <v>5612</v>
      </c>
      <c r="G5" s="10">
        <v>6663</v>
      </c>
      <c r="H5" s="10">
        <v>7060</v>
      </c>
      <c r="I5" s="10">
        <v>7296</v>
      </c>
      <c r="J5" s="10">
        <v>6215</v>
      </c>
      <c r="K5" s="10">
        <v>7065</v>
      </c>
      <c r="L5" s="10">
        <v>7551</v>
      </c>
      <c r="M5" s="10">
        <v>7190</v>
      </c>
      <c r="N5" s="10">
        <v>6931</v>
      </c>
      <c r="R5" s="19">
        <v>19581</v>
      </c>
      <c r="S5" s="19">
        <v>23298</v>
      </c>
      <c r="T5" s="7">
        <f t="shared" ref="T5:V5" si="2">+T3-T4</f>
        <v>25004</v>
      </c>
      <c r="U5" s="7">
        <f t="shared" si="2"/>
        <v>27234</v>
      </c>
      <c r="V5" s="7">
        <f t="shared" si="2"/>
        <v>28737</v>
      </c>
    </row>
    <row r="6" spans="1:128" s="7" customFormat="1" x14ac:dyDescent="0.2">
      <c r="B6" s="7" t="s">
        <v>14</v>
      </c>
      <c r="C6" s="10">
        <v>2995</v>
      </c>
      <c r="D6" s="10">
        <v>4154</v>
      </c>
      <c r="E6" s="10">
        <v>3409</v>
      </c>
      <c r="F6" s="10">
        <v>3537</v>
      </c>
      <c r="G6" s="10">
        <v>3296</v>
      </c>
      <c r="H6" s="10">
        <v>4659</v>
      </c>
      <c r="I6" s="10">
        <v>4026</v>
      </c>
      <c r="J6" s="10">
        <v>3942</v>
      </c>
      <c r="K6" s="10">
        <v>4924</v>
      </c>
      <c r="L6" s="10">
        <v>4919</v>
      </c>
      <c r="M6" s="10">
        <v>4680</v>
      </c>
      <c r="N6" s="10">
        <v>4222</v>
      </c>
      <c r="R6" s="19">
        <v>10584</v>
      </c>
      <c r="S6" s="19">
        <v>12990</v>
      </c>
      <c r="T6" s="7">
        <f>SUM(C6:F6)</f>
        <v>14095</v>
      </c>
      <c r="U6" s="7">
        <f>SUM(G6:J6)</f>
        <v>15923</v>
      </c>
      <c r="V6" s="7">
        <f>SUM(K6:N6)</f>
        <v>18745</v>
      </c>
    </row>
    <row r="7" spans="1:128" s="7" customFormat="1" x14ac:dyDescent="0.2">
      <c r="B7" s="7" t="s">
        <v>12</v>
      </c>
      <c r="C7" s="7">
        <f t="shared" ref="C7:L7" si="3">+C5-C6</f>
        <v>3405</v>
      </c>
      <c r="D7" s="7">
        <f t="shared" si="3"/>
        <v>2341</v>
      </c>
      <c r="E7" s="7">
        <f t="shared" si="3"/>
        <v>3088</v>
      </c>
      <c r="F7" s="7">
        <f t="shared" si="3"/>
        <v>2075</v>
      </c>
      <c r="G7" s="7">
        <f t="shared" si="3"/>
        <v>3367</v>
      </c>
      <c r="H7" s="7">
        <f t="shared" si="3"/>
        <v>2401</v>
      </c>
      <c r="I7" s="7">
        <f t="shared" si="3"/>
        <v>3270</v>
      </c>
      <c r="J7" s="7">
        <f t="shared" si="3"/>
        <v>2273</v>
      </c>
      <c r="K7" s="7">
        <f t="shared" si="3"/>
        <v>2141</v>
      </c>
      <c r="L7" s="7">
        <f t="shared" si="3"/>
        <v>2632</v>
      </c>
      <c r="M7" s="7">
        <f t="shared" ref="M7:N7" si="4">+M5-M6</f>
        <v>2510</v>
      </c>
      <c r="N7" s="7">
        <f t="shared" si="4"/>
        <v>2709</v>
      </c>
      <c r="R7" s="19">
        <v>8997</v>
      </c>
      <c r="S7" s="19">
        <v>10308</v>
      </c>
      <c r="T7" s="7">
        <f t="shared" ref="T7:V7" si="5">+T5-T6</f>
        <v>10909</v>
      </c>
      <c r="U7" s="7">
        <f t="shared" si="5"/>
        <v>11311</v>
      </c>
      <c r="V7" s="7">
        <f t="shared" si="5"/>
        <v>9992</v>
      </c>
    </row>
    <row r="8" spans="1:128" s="7" customFormat="1" x14ac:dyDescent="0.2">
      <c r="B8" s="7" t="s">
        <v>11</v>
      </c>
      <c r="C8" s="10">
        <v>53</v>
      </c>
      <c r="D8" s="10">
        <v>-57</v>
      </c>
      <c r="E8" s="10">
        <v>356</v>
      </c>
      <c r="F8" s="10">
        <v>425</v>
      </c>
      <c r="G8" s="10">
        <v>686</v>
      </c>
      <c r="H8" s="10">
        <v>479</v>
      </c>
      <c r="I8" s="10">
        <v>267</v>
      </c>
      <c r="J8" s="10">
        <v>209</v>
      </c>
      <c r="K8" s="10">
        <v>1731</v>
      </c>
      <c r="L8" s="10">
        <v>396</v>
      </c>
      <c r="M8" s="10">
        <v>870</v>
      </c>
      <c r="N8" s="10">
        <v>97</v>
      </c>
      <c r="R8" s="19">
        <v>752</v>
      </c>
      <c r="S8" s="19">
        <v>2117</v>
      </c>
      <c r="T8" s="7">
        <f>SUM(C8:F8)</f>
        <v>777</v>
      </c>
      <c r="U8" s="7">
        <f>SUM(G8:J8)</f>
        <v>1641</v>
      </c>
      <c r="V8" s="7">
        <f>SUM(K8:N8)</f>
        <v>3094</v>
      </c>
    </row>
    <row r="9" spans="1:128" s="7" customFormat="1" x14ac:dyDescent="0.2">
      <c r="B9" s="7" t="s">
        <v>10</v>
      </c>
      <c r="C9" s="10">
        <f t="shared" ref="C9:L9" si="6">+C7+C8</f>
        <v>3458</v>
      </c>
      <c r="D9" s="10">
        <f t="shared" si="6"/>
        <v>2284</v>
      </c>
      <c r="E9" s="10">
        <f t="shared" si="6"/>
        <v>3444</v>
      </c>
      <c r="F9" s="10">
        <f t="shared" si="6"/>
        <v>2500</v>
      </c>
      <c r="G9" s="10">
        <f t="shared" si="6"/>
        <v>4053</v>
      </c>
      <c r="H9" s="10">
        <f t="shared" si="6"/>
        <v>2880</v>
      </c>
      <c r="I9" s="10">
        <f t="shared" si="6"/>
        <v>3537</v>
      </c>
      <c r="J9" s="10">
        <f t="shared" si="6"/>
        <v>2482</v>
      </c>
      <c r="K9" s="10">
        <f t="shared" si="6"/>
        <v>3872</v>
      </c>
      <c r="L9" s="10">
        <f t="shared" si="6"/>
        <v>3028</v>
      </c>
      <c r="M9" s="10">
        <f t="shared" ref="M9" si="7">+M7+M8</f>
        <v>3380</v>
      </c>
      <c r="N9" s="10">
        <f>+N7+N8</f>
        <v>2806</v>
      </c>
      <c r="R9" s="19">
        <v>9749</v>
      </c>
      <c r="S9" s="19">
        <v>12425</v>
      </c>
      <c r="T9" s="7">
        <f t="shared" ref="T9:V9" si="8">+T7+T8</f>
        <v>11686</v>
      </c>
      <c r="U9" s="7">
        <f t="shared" si="8"/>
        <v>12952</v>
      </c>
      <c r="V9" s="7">
        <f t="shared" si="8"/>
        <v>13086</v>
      </c>
    </row>
    <row r="10" spans="1:128" s="7" customFormat="1" x14ac:dyDescent="0.2">
      <c r="B10" s="7" t="s">
        <v>9</v>
      </c>
      <c r="C10" s="10">
        <v>665</v>
      </c>
      <c r="D10" s="10">
        <v>384</v>
      </c>
      <c r="E10" s="10">
        <v>622</v>
      </c>
      <c r="F10" s="10">
        <v>444</v>
      </c>
      <c r="G10" s="10">
        <v>940</v>
      </c>
      <c r="H10" s="10">
        <v>359</v>
      </c>
      <c r="I10" s="10">
        <v>454</v>
      </c>
      <c r="J10" s="10">
        <v>496</v>
      </c>
      <c r="K10" s="10">
        <v>687</v>
      </c>
      <c r="L10" s="10">
        <v>627</v>
      </c>
      <c r="M10" s="10">
        <v>530</v>
      </c>
      <c r="N10" s="10">
        <v>593</v>
      </c>
      <c r="R10" s="19">
        <v>1981</v>
      </c>
      <c r="S10" s="19">
        <v>2621</v>
      </c>
      <c r="T10" s="7">
        <f>SUM(C10:F10)</f>
        <v>2115</v>
      </c>
      <c r="U10" s="7">
        <f>SUM(G10:J10)</f>
        <v>2249</v>
      </c>
      <c r="V10" s="7">
        <f>SUM(K10:N10)</f>
        <v>2437</v>
      </c>
    </row>
    <row r="11" spans="1:128" s="7" customFormat="1" x14ac:dyDescent="0.2">
      <c r="B11" s="7" t="s">
        <v>8</v>
      </c>
      <c r="C11" s="10">
        <f t="shared" ref="C11:L11" si="9">+C9-C10</f>
        <v>2793</v>
      </c>
      <c r="D11" s="10">
        <f t="shared" si="9"/>
        <v>1900</v>
      </c>
      <c r="E11" s="10">
        <f t="shared" si="9"/>
        <v>2822</v>
      </c>
      <c r="F11" s="10">
        <f t="shared" si="9"/>
        <v>2056</v>
      </c>
      <c r="G11" s="10">
        <f t="shared" si="9"/>
        <v>3113</v>
      </c>
      <c r="H11" s="10">
        <f t="shared" si="9"/>
        <v>2521</v>
      </c>
      <c r="I11" s="10">
        <f t="shared" si="9"/>
        <v>3083</v>
      </c>
      <c r="J11" s="10">
        <f t="shared" si="9"/>
        <v>1986</v>
      </c>
      <c r="K11" s="10">
        <f t="shared" si="9"/>
        <v>3185</v>
      </c>
      <c r="L11" s="10">
        <f t="shared" si="9"/>
        <v>2401</v>
      </c>
      <c r="M11" s="10">
        <f t="shared" ref="M11" si="10">+M9-M10</f>
        <v>2850</v>
      </c>
      <c r="N11" s="10">
        <f>+N9-N10</f>
        <v>2213</v>
      </c>
      <c r="R11" s="19">
        <v>7768</v>
      </c>
      <c r="S11" s="19">
        <v>9804</v>
      </c>
      <c r="T11" s="7">
        <f t="shared" ref="T11:V11" si="11">+T9-T10</f>
        <v>9571</v>
      </c>
      <c r="U11" s="7">
        <f t="shared" si="11"/>
        <v>10703</v>
      </c>
      <c r="V11" s="7">
        <f t="shared" si="11"/>
        <v>10649</v>
      </c>
      <c r="W11" s="7">
        <f>+V11*(1+$Y$17)</f>
        <v>10861.98</v>
      </c>
      <c r="X11" s="7">
        <f t="shared" ref="X11:CI11" si="12">+W11*(1+$Y$17)</f>
        <v>11079.2196</v>
      </c>
      <c r="Y11" s="7">
        <f t="shared" si="12"/>
        <v>11300.803992000001</v>
      </c>
      <c r="Z11" s="7">
        <f t="shared" si="12"/>
        <v>11526.820071840002</v>
      </c>
      <c r="AA11" s="7">
        <f t="shared" si="12"/>
        <v>11757.356473276803</v>
      </c>
      <c r="AB11" s="7">
        <f t="shared" si="12"/>
        <v>11992.503602742339</v>
      </c>
      <c r="AC11" s="7">
        <f t="shared" si="12"/>
        <v>12232.353674797187</v>
      </c>
      <c r="AD11" s="7">
        <f t="shared" si="12"/>
        <v>12477.000748293131</v>
      </c>
      <c r="AE11" s="7">
        <f t="shared" si="12"/>
        <v>12726.540763258994</v>
      </c>
      <c r="AF11" s="7">
        <f t="shared" si="12"/>
        <v>12981.071578524174</v>
      </c>
      <c r="AG11" s="7">
        <f t="shared" si="12"/>
        <v>13240.693010094657</v>
      </c>
      <c r="AH11" s="7">
        <f t="shared" si="12"/>
        <v>13505.506870296551</v>
      </c>
      <c r="AI11" s="7">
        <f t="shared" si="12"/>
        <v>13775.617007702482</v>
      </c>
      <c r="AJ11" s="7">
        <f t="shared" si="12"/>
        <v>14051.129347856531</v>
      </c>
      <c r="AK11" s="7">
        <f t="shared" si="12"/>
        <v>14332.151934813663</v>
      </c>
      <c r="AL11" s="7">
        <f t="shared" si="12"/>
        <v>14618.794973509936</v>
      </c>
      <c r="AM11" s="7">
        <f t="shared" si="12"/>
        <v>14911.170872980134</v>
      </c>
      <c r="AN11" s="7">
        <f t="shared" si="12"/>
        <v>15209.394290439737</v>
      </c>
      <c r="AO11" s="7">
        <f t="shared" si="12"/>
        <v>15513.582176248532</v>
      </c>
      <c r="AP11" s="7">
        <f t="shared" si="12"/>
        <v>15823.853819773503</v>
      </c>
      <c r="AQ11" s="7">
        <f t="shared" si="12"/>
        <v>16140.330896168975</v>
      </c>
      <c r="AR11" s="7">
        <f t="shared" si="12"/>
        <v>16463.137514092356</v>
      </c>
      <c r="AS11" s="7">
        <f t="shared" si="12"/>
        <v>16792.400264374202</v>
      </c>
      <c r="AT11" s="7">
        <f t="shared" si="12"/>
        <v>17128.248269661686</v>
      </c>
      <c r="AU11" s="7">
        <f t="shared" si="12"/>
        <v>17470.81323505492</v>
      </c>
      <c r="AV11" s="7">
        <f t="shared" si="12"/>
        <v>17820.22949975602</v>
      </c>
      <c r="AW11" s="7">
        <f t="shared" si="12"/>
        <v>18176.63408975114</v>
      </c>
      <c r="AX11" s="7">
        <f t="shared" si="12"/>
        <v>18540.166771546163</v>
      </c>
      <c r="AY11" s="7">
        <f t="shared" si="12"/>
        <v>18910.970106977085</v>
      </c>
      <c r="AZ11" s="7">
        <f t="shared" si="12"/>
        <v>19289.189509116626</v>
      </c>
      <c r="BA11" s="7">
        <f t="shared" si="12"/>
        <v>19674.973299298959</v>
      </c>
      <c r="BB11" s="7">
        <f t="shared" si="12"/>
        <v>20068.47276528494</v>
      </c>
      <c r="BC11" s="7">
        <f t="shared" si="12"/>
        <v>20469.842220590639</v>
      </c>
      <c r="BD11" s="7">
        <f t="shared" si="12"/>
        <v>20879.239065002454</v>
      </c>
      <c r="BE11" s="7">
        <f t="shared" si="12"/>
        <v>21296.823846302505</v>
      </c>
      <c r="BF11" s="7">
        <f t="shared" si="12"/>
        <v>21722.760323228555</v>
      </c>
      <c r="BG11" s="7">
        <f t="shared" si="12"/>
        <v>22157.215529693127</v>
      </c>
      <c r="BH11" s="7">
        <f t="shared" si="12"/>
        <v>22600.35984028699</v>
      </c>
      <c r="BI11" s="7">
        <f t="shared" si="12"/>
        <v>23052.367037092732</v>
      </c>
      <c r="BJ11" s="7">
        <f t="shared" si="12"/>
        <v>23513.414377834586</v>
      </c>
      <c r="BK11" s="7">
        <f t="shared" si="12"/>
        <v>23983.682665391279</v>
      </c>
      <c r="BL11" s="7">
        <f t="shared" si="12"/>
        <v>24463.356318699105</v>
      </c>
      <c r="BM11" s="7">
        <f t="shared" si="12"/>
        <v>24952.623445073088</v>
      </c>
      <c r="BN11" s="7">
        <f t="shared" si="12"/>
        <v>25451.675913974552</v>
      </c>
      <c r="BO11" s="7">
        <f t="shared" si="12"/>
        <v>25960.709432254043</v>
      </c>
      <c r="BP11" s="7">
        <f t="shared" si="12"/>
        <v>26479.923620899124</v>
      </c>
      <c r="BQ11" s="7">
        <f t="shared" si="12"/>
        <v>27009.522093317108</v>
      </c>
      <c r="BR11" s="7">
        <f t="shared" si="12"/>
        <v>27549.712535183451</v>
      </c>
      <c r="BS11" s="7">
        <f t="shared" si="12"/>
        <v>28100.70678588712</v>
      </c>
      <c r="BT11" s="7">
        <f t="shared" si="12"/>
        <v>28662.720921604861</v>
      </c>
      <c r="BU11" s="7">
        <f t="shared" si="12"/>
        <v>29235.975340036959</v>
      </c>
      <c r="BV11" s="7">
        <f t="shared" si="12"/>
        <v>29820.694846837698</v>
      </c>
      <c r="BW11" s="7">
        <f t="shared" si="12"/>
        <v>30417.108743774454</v>
      </c>
      <c r="BX11" s="7">
        <f t="shared" si="12"/>
        <v>31025.450918649942</v>
      </c>
      <c r="BY11" s="7">
        <f t="shared" si="12"/>
        <v>31645.959937022941</v>
      </c>
      <c r="BZ11" s="7">
        <f t="shared" si="12"/>
        <v>32278.8791357634</v>
      </c>
      <c r="CA11" s="7">
        <f t="shared" si="12"/>
        <v>32924.456718478672</v>
      </c>
      <c r="CB11" s="7">
        <f t="shared" si="12"/>
        <v>33582.945852848243</v>
      </c>
      <c r="CC11" s="7">
        <f t="shared" si="12"/>
        <v>34254.604769905207</v>
      </c>
      <c r="CD11" s="7">
        <f t="shared" si="12"/>
        <v>34939.696865303311</v>
      </c>
      <c r="CE11" s="7">
        <f t="shared" si="12"/>
        <v>35638.490802609376</v>
      </c>
      <c r="CF11" s="7">
        <f t="shared" si="12"/>
        <v>36351.260618661567</v>
      </c>
      <c r="CG11" s="7">
        <f t="shared" si="12"/>
        <v>37078.285831034802</v>
      </c>
      <c r="CH11" s="7">
        <f t="shared" si="12"/>
        <v>37819.851547655497</v>
      </c>
      <c r="CI11" s="7">
        <f t="shared" si="12"/>
        <v>38576.248578608611</v>
      </c>
      <c r="CJ11" s="7">
        <f t="shared" ref="CJ11:DX11" si="13">+CI11*(1+$Y$17)</f>
        <v>39347.773550180784</v>
      </c>
      <c r="CK11" s="7">
        <f t="shared" si="13"/>
        <v>40134.729021184401</v>
      </c>
      <c r="CL11" s="7">
        <f t="shared" si="13"/>
        <v>40937.42360160809</v>
      </c>
      <c r="CM11" s="7">
        <f t="shared" si="13"/>
        <v>41756.172073640249</v>
      </c>
      <c r="CN11" s="7">
        <f t="shared" si="13"/>
        <v>42591.295515113052</v>
      </c>
      <c r="CO11" s="7">
        <f t="shared" si="13"/>
        <v>43443.121425415316</v>
      </c>
      <c r="CP11" s="7">
        <f t="shared" si="13"/>
        <v>44311.983853923623</v>
      </c>
      <c r="CQ11" s="7">
        <f t="shared" si="13"/>
        <v>45198.223531002099</v>
      </c>
      <c r="CR11" s="7">
        <f t="shared" si="13"/>
        <v>46102.18800162214</v>
      </c>
      <c r="CS11" s="7">
        <f t="shared" si="13"/>
        <v>47024.231761654584</v>
      </c>
      <c r="CT11" s="7">
        <f t="shared" si="13"/>
        <v>47964.716396887678</v>
      </c>
      <c r="CU11" s="7">
        <f t="shared" si="13"/>
        <v>48924.010724825435</v>
      </c>
      <c r="CV11" s="7">
        <f t="shared" si="13"/>
        <v>49902.490939321942</v>
      </c>
      <c r="CW11" s="7">
        <f t="shared" si="13"/>
        <v>50900.540758108385</v>
      </c>
      <c r="CX11" s="7">
        <f t="shared" si="13"/>
        <v>51918.551573270553</v>
      </c>
      <c r="CY11" s="7">
        <f t="shared" si="13"/>
        <v>52956.922604735963</v>
      </c>
      <c r="CZ11" s="7">
        <f t="shared" si="13"/>
        <v>54016.06105683068</v>
      </c>
      <c r="DA11" s="7">
        <f t="shared" si="13"/>
        <v>55096.382277967292</v>
      </c>
      <c r="DB11" s="7">
        <f t="shared" si="13"/>
        <v>56198.309923526642</v>
      </c>
      <c r="DC11" s="7">
        <f t="shared" si="13"/>
        <v>57322.276121997173</v>
      </c>
      <c r="DD11" s="7">
        <f t="shared" si="13"/>
        <v>58468.721644437115</v>
      </c>
      <c r="DE11" s="7">
        <f t="shared" si="13"/>
        <v>59638.096077325856</v>
      </c>
      <c r="DF11" s="7">
        <f t="shared" si="13"/>
        <v>60830.857998872372</v>
      </c>
      <c r="DG11" s="7">
        <f t="shared" si="13"/>
        <v>62047.475158849818</v>
      </c>
      <c r="DH11" s="7">
        <f t="shared" si="13"/>
        <v>63288.424662026817</v>
      </c>
      <c r="DI11" s="7">
        <f t="shared" si="13"/>
        <v>64554.193155267356</v>
      </c>
      <c r="DJ11" s="7">
        <f t="shared" si="13"/>
        <v>65845.277018372697</v>
      </c>
      <c r="DK11" s="7">
        <f t="shared" si="13"/>
        <v>67162.182558740154</v>
      </c>
      <c r="DL11" s="7">
        <f t="shared" si="13"/>
        <v>68505.426209914964</v>
      </c>
      <c r="DM11" s="7">
        <f t="shared" si="13"/>
        <v>69875.534734113258</v>
      </c>
      <c r="DN11" s="7">
        <f t="shared" si="13"/>
        <v>71273.045428795522</v>
      </c>
      <c r="DO11" s="7">
        <f t="shared" si="13"/>
        <v>72698.506337371437</v>
      </c>
      <c r="DP11" s="7">
        <f t="shared" si="13"/>
        <v>74152.476464118867</v>
      </c>
      <c r="DQ11" s="7">
        <f t="shared" si="13"/>
        <v>75635.525993401243</v>
      </c>
      <c r="DR11" s="7">
        <f t="shared" si="13"/>
        <v>77148.236513269265</v>
      </c>
      <c r="DS11" s="7">
        <f t="shared" si="13"/>
        <v>78691.201243534655</v>
      </c>
      <c r="DT11" s="7">
        <f t="shared" si="13"/>
        <v>80265.025268405356</v>
      </c>
      <c r="DU11" s="7">
        <f t="shared" si="13"/>
        <v>81870.325773773468</v>
      </c>
      <c r="DV11" s="7">
        <f t="shared" si="13"/>
        <v>83507.732289248932</v>
      </c>
      <c r="DW11" s="7">
        <f t="shared" si="13"/>
        <v>85177.886935033908</v>
      </c>
      <c r="DX11" s="7">
        <f t="shared" si="13"/>
        <v>86881.444673734586</v>
      </c>
    </row>
    <row r="12" spans="1:128" s="2" customFormat="1" x14ac:dyDescent="0.2"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28" s="2" customFormat="1" x14ac:dyDescent="0.2">
      <c r="B13" s="3" t="s">
        <v>31</v>
      </c>
      <c r="C13" s="12"/>
      <c r="D13" s="12"/>
      <c r="E13" s="12"/>
      <c r="F13" s="12"/>
      <c r="G13" s="12">
        <f t="shared" ref="G13:N13" si="14">G3/C3-1</f>
        <v>4.661138118387198E-2</v>
      </c>
      <c r="H13" s="12">
        <f t="shared" si="14"/>
        <v>5.713024282560708E-2</v>
      </c>
      <c r="I13" s="12">
        <f t="shared" si="14"/>
        <v>8.0448341317906458E-2</v>
      </c>
      <c r="J13" s="12">
        <f t="shared" si="14"/>
        <v>7.150617283950611E-2</v>
      </c>
      <c r="K13" s="12">
        <f t="shared" si="14"/>
        <v>2.9143897996356971E-2</v>
      </c>
      <c r="L13" s="12">
        <f t="shared" si="14"/>
        <v>3.2659538924156406E-2</v>
      </c>
      <c r="M13" s="12">
        <f t="shared" si="14"/>
        <v>-8.2824395549234708E-3</v>
      </c>
      <c r="N13" s="12">
        <f t="shared" si="14"/>
        <v>6.4061203797584954E-2</v>
      </c>
      <c r="R13" s="6"/>
      <c r="S13" s="6">
        <f t="shared" ref="S13" si="15">S3/R3-1</f>
        <v>0.17086690494941537</v>
      </c>
      <c r="T13" s="6">
        <f>T3/S3-1</f>
        <v>0.11250808433579107</v>
      </c>
      <c r="U13" s="6">
        <f>U3/T3-1</f>
        <v>6.3947539763743011E-2</v>
      </c>
      <c r="V13" s="6">
        <f>V3/U3-1</f>
        <v>2.8565808453905772E-2</v>
      </c>
      <c r="W13" s="6">
        <f t="shared" ref="W13:AB13" si="16">W3/V3-1</f>
        <v>2.0000000000000018E-2</v>
      </c>
      <c r="X13" s="6">
        <f t="shared" si="16"/>
        <v>2.0000000000000018E-2</v>
      </c>
      <c r="Y13" s="6">
        <f t="shared" si="16"/>
        <v>2.0000000000000018E-2</v>
      </c>
      <c r="Z13" s="6">
        <f t="shared" si="16"/>
        <v>2.0000000000000018E-2</v>
      </c>
      <c r="AA13" s="6">
        <f t="shared" si="16"/>
        <v>2.0000000000000018E-2</v>
      </c>
      <c r="AB13" s="6">
        <f t="shared" si="16"/>
        <v>2.0000000000000018E-2</v>
      </c>
    </row>
    <row r="14" spans="1:128" s="2" customFormat="1" x14ac:dyDescent="0.2">
      <c r="B14" s="6" t="s">
        <v>7</v>
      </c>
      <c r="C14" s="11">
        <f t="shared" ref="C14:N14" si="17">C5/C3</f>
        <v>0.61004670670098182</v>
      </c>
      <c r="D14" s="11">
        <f t="shared" si="17"/>
        <v>0.57350993377483439</v>
      </c>
      <c r="E14" s="11">
        <f t="shared" si="17"/>
        <v>0.58727289162071772</v>
      </c>
      <c r="F14" s="11">
        <f t="shared" si="17"/>
        <v>0.55427160493827166</v>
      </c>
      <c r="G14" s="11">
        <f t="shared" si="17"/>
        <v>0.60683060109289622</v>
      </c>
      <c r="H14" s="11">
        <f t="shared" si="17"/>
        <v>0.58970932175075175</v>
      </c>
      <c r="I14" s="11">
        <f t="shared" si="17"/>
        <v>0.61039069689617664</v>
      </c>
      <c r="J14" s="11">
        <f t="shared" si="17"/>
        <v>0.57286385842013088</v>
      </c>
      <c r="K14" s="11">
        <f t="shared" si="17"/>
        <v>0.62522123893805315</v>
      </c>
      <c r="L14" s="11">
        <f t="shared" si="17"/>
        <v>0.61077408396020383</v>
      </c>
      <c r="M14" s="11">
        <f t="shared" si="17"/>
        <v>0.60654631348068166</v>
      </c>
      <c r="N14" s="11">
        <f t="shared" si="17"/>
        <v>0.60039847539847535</v>
      </c>
      <c r="R14" s="11">
        <f t="shared" ref="R14:V14" si="18">R5/R3</f>
        <v>0.59311201308535777</v>
      </c>
      <c r="S14" s="11">
        <f t="shared" si="18"/>
        <v>0.60271633682576642</v>
      </c>
      <c r="T14" s="11">
        <f t="shared" si="18"/>
        <v>0.58143428518277374</v>
      </c>
      <c r="U14" s="11">
        <f t="shared" si="18"/>
        <v>0.5952266468505486</v>
      </c>
      <c r="V14" s="11">
        <f t="shared" si="18"/>
        <v>0.61063300822336963</v>
      </c>
      <c r="W14" s="11">
        <f t="shared" ref="W14:AB14" si="19">W5/W3</f>
        <v>0</v>
      </c>
      <c r="X14" s="11">
        <f t="shared" si="19"/>
        <v>0</v>
      </c>
      <c r="Y14" s="11">
        <f t="shared" si="19"/>
        <v>0</v>
      </c>
      <c r="Z14" s="11">
        <f t="shared" si="19"/>
        <v>0</v>
      </c>
      <c r="AA14" s="11">
        <f t="shared" si="19"/>
        <v>0</v>
      </c>
      <c r="AB14" s="11">
        <f t="shared" si="19"/>
        <v>0</v>
      </c>
    </row>
    <row r="15" spans="1:128" s="2" customFormat="1" x14ac:dyDescent="0.2">
      <c r="B15" s="2" t="s">
        <v>6</v>
      </c>
      <c r="C15" s="11">
        <f t="shared" ref="C15:N15" si="20">C7/C3</f>
        <v>0.32456391192450673</v>
      </c>
      <c r="D15" s="11">
        <f t="shared" si="20"/>
        <v>0.20671081677704195</v>
      </c>
      <c r="E15" s="11">
        <f t="shared" si="20"/>
        <v>0.27912862695471391</v>
      </c>
      <c r="F15" s="11">
        <f t="shared" si="20"/>
        <v>0.20493827160493827</v>
      </c>
      <c r="G15" s="11">
        <f t="shared" si="20"/>
        <v>0.30664845173041894</v>
      </c>
      <c r="H15" s="11">
        <f t="shared" si="20"/>
        <v>0.20055128633478114</v>
      </c>
      <c r="I15" s="11">
        <f t="shared" si="20"/>
        <v>0.27357148832928974</v>
      </c>
      <c r="J15" s="11">
        <f t="shared" si="20"/>
        <v>0.20951239745598674</v>
      </c>
      <c r="K15" s="11">
        <f t="shared" si="20"/>
        <v>0.18946902654867256</v>
      </c>
      <c r="L15" s="11">
        <f t="shared" si="20"/>
        <v>0.21289331068510881</v>
      </c>
      <c r="M15" s="11">
        <f t="shared" si="20"/>
        <v>0.21174287160452168</v>
      </c>
      <c r="N15" s="11">
        <f t="shared" si="20"/>
        <v>0.23466735966735966</v>
      </c>
      <c r="R15" s="11">
        <f t="shared" ref="R15:V15" si="21">R7/R3</f>
        <v>0.27252074877324772</v>
      </c>
      <c r="S15" s="11">
        <f t="shared" si="21"/>
        <v>0.26666666666666666</v>
      </c>
      <c r="T15" s="11">
        <f t="shared" si="21"/>
        <v>0.25367407683006232</v>
      </c>
      <c r="U15" s="11">
        <f t="shared" si="21"/>
        <v>0.24721335839489444</v>
      </c>
      <c r="V15" s="11">
        <f t="shared" si="21"/>
        <v>0.21232018019166612</v>
      </c>
      <c r="W15" s="11">
        <f t="shared" ref="W15:AB15" si="22">W7/W3</f>
        <v>0</v>
      </c>
      <c r="X15" s="11">
        <f t="shared" si="22"/>
        <v>0</v>
      </c>
      <c r="Y15" s="11">
        <f t="shared" si="22"/>
        <v>0</v>
      </c>
      <c r="Z15" s="11">
        <f t="shared" si="22"/>
        <v>0</v>
      </c>
      <c r="AA15" s="11">
        <f t="shared" si="22"/>
        <v>0</v>
      </c>
      <c r="AB15" s="11">
        <f t="shared" si="22"/>
        <v>0</v>
      </c>
    </row>
    <row r="17" spans="22:25" x14ac:dyDescent="0.2">
      <c r="V17" s="14"/>
      <c r="X17" s="13" t="s">
        <v>32</v>
      </c>
      <c r="Y17" s="17">
        <v>0.02</v>
      </c>
    </row>
    <row r="18" spans="22:25" x14ac:dyDescent="0.2">
      <c r="X18" s="13" t="s">
        <v>33</v>
      </c>
      <c r="Y18" s="17">
        <v>0.06</v>
      </c>
    </row>
    <row r="19" spans="22:25" x14ac:dyDescent="0.2">
      <c r="X19" s="13" t="s">
        <v>34</v>
      </c>
      <c r="Y19" s="19">
        <f>NPV(Y18,W11:DT11)</f>
        <v>266180.81070941745</v>
      </c>
    </row>
    <row r="20" spans="22:25" x14ac:dyDescent="0.2">
      <c r="X20" s="13" t="s">
        <v>35</v>
      </c>
      <c r="Y20" s="18">
        <f>Y19/Main!L3</f>
        <v>61.841151330017183</v>
      </c>
    </row>
    <row r="21" spans="22:25" x14ac:dyDescent="0.2">
      <c r="X21" s="13" t="s">
        <v>37</v>
      </c>
      <c r="Y21" s="17">
        <f>Y20/Main!L2-1</f>
        <v>-0.10297140513465064</v>
      </c>
    </row>
  </sheetData>
  <hyperlinks>
    <hyperlink ref="A1" location="Main!A1" display="Main" xr:uid="{C5724551-2886-446F-AF08-B3FD03018F9A}"/>
  </hyperlink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2025-03-11T15:20:38Z</dcterms:created>
  <dcterms:modified xsi:type="dcterms:W3CDTF">2025-10-14T11:11:00Z</dcterms:modified>
</cp:coreProperties>
</file>