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E72A4FA-107A-463A-98D5-F010FE3F6FFB}" xr6:coauthVersionLast="47" xr6:coauthVersionMax="47" xr10:uidLastSave="{00000000-0000-0000-0000-000000000000}"/>
  <bookViews>
    <workbookView xWindow="5805" yWindow="1815" windowWidth="18075" windowHeight="16020" activeTab="1" xr2:uid="{88FA9C38-ABF6-471A-A114-1956627409AA}"/>
  </bookViews>
  <sheets>
    <sheet name="Main" sheetId="1" r:id="rId1"/>
    <sheet name="Model" sheetId="3" r:id="rId2"/>
    <sheet name="Carvyk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M10" i="3"/>
  <c r="N4" i="3"/>
  <c r="M39" i="3"/>
  <c r="M45" i="3" s="1"/>
  <c r="M40" i="3"/>
  <c r="M34" i="3"/>
  <c r="M26" i="3"/>
  <c r="M35" i="3" s="1"/>
  <c r="R9" i="3"/>
  <c r="Q9" i="3"/>
  <c r="P9" i="3"/>
  <c r="O9" i="3"/>
  <c r="Z19" i="3"/>
  <c r="Z12" i="3"/>
  <c r="Z8" i="3"/>
  <c r="Z6" i="3"/>
  <c r="W2" i="3"/>
  <c r="X2" i="3" s="1"/>
  <c r="Y2" i="3" s="1"/>
  <c r="Z2" i="3" s="1"/>
  <c r="AA2" i="3" s="1"/>
  <c r="AB2" i="3" s="1"/>
  <c r="AC2" i="3" s="1"/>
  <c r="AD2" i="3" s="1"/>
  <c r="AE2" i="3" s="1"/>
  <c r="AF2" i="3" s="1"/>
  <c r="N22" i="3"/>
  <c r="Z22" i="3" s="1"/>
  <c r="AA22" i="3" s="1"/>
  <c r="AB22" i="3" s="1"/>
  <c r="N14" i="3"/>
  <c r="Z14" i="3" s="1"/>
  <c r="AA14" i="3" s="1"/>
  <c r="N7" i="3"/>
  <c r="N24" i="3" s="1"/>
  <c r="M24" i="3"/>
  <c r="Z7" i="3" l="1"/>
  <c r="Z9" i="3" s="1"/>
  <c r="M15" i="3"/>
  <c r="Z4" i="3"/>
  <c r="AA4" i="3" s="1"/>
  <c r="AA7" i="3" s="1"/>
  <c r="AA9" i="3" s="1"/>
  <c r="AB14" i="3"/>
  <c r="N13" i="3"/>
  <c r="AB4" i="3" l="1"/>
  <c r="AB7" i="3" s="1"/>
  <c r="AB9" i="3" s="1"/>
  <c r="N15" i="3"/>
  <c r="Z13" i="3"/>
  <c r="AB10" i="3"/>
  <c r="AB11" i="3" s="1"/>
  <c r="AA10" i="3"/>
  <c r="AA11" i="3" s="1"/>
  <c r="L42" i="3"/>
  <c r="L40" i="3"/>
  <c r="L39" i="3"/>
  <c r="N9" i="3"/>
  <c r="M9" i="3"/>
  <c r="C17" i="3"/>
  <c r="C15" i="3"/>
  <c r="C9" i="3"/>
  <c r="C11" i="3" s="1"/>
  <c r="H24" i="3"/>
  <c r="D17" i="3"/>
  <c r="D15" i="3"/>
  <c r="D9" i="3"/>
  <c r="D11" i="3" s="1"/>
  <c r="I24" i="3"/>
  <c r="E17" i="3"/>
  <c r="I17" i="3"/>
  <c r="E15" i="3"/>
  <c r="E9" i="3"/>
  <c r="E11" i="3" s="1"/>
  <c r="I9" i="3"/>
  <c r="I11" i="3" s="1"/>
  <c r="J24" i="3"/>
  <c r="F17" i="3"/>
  <c r="F15" i="3"/>
  <c r="F9" i="3"/>
  <c r="F11" i="3" s="1"/>
  <c r="J17" i="3"/>
  <c r="J15" i="3"/>
  <c r="J9" i="3"/>
  <c r="J11" i="3" s="1"/>
  <c r="K24" i="3"/>
  <c r="L24" i="3"/>
  <c r="G17" i="3"/>
  <c r="G15" i="3"/>
  <c r="K17" i="3"/>
  <c r="K10" i="3"/>
  <c r="G9" i="3"/>
  <c r="G11" i="3" s="1"/>
  <c r="K9" i="3"/>
  <c r="L34" i="3"/>
  <c r="L26" i="3"/>
  <c r="H17" i="3"/>
  <c r="H15" i="3"/>
  <c r="L17" i="3"/>
  <c r="N17" i="3" s="1"/>
  <c r="K15" i="3"/>
  <c r="I15" i="3"/>
  <c r="L15" i="3"/>
  <c r="L10" i="3"/>
  <c r="N10" i="3" s="1"/>
  <c r="L9" i="3"/>
  <c r="H9" i="3"/>
  <c r="H11" i="3" s="1"/>
  <c r="K3" i="1"/>
  <c r="K4" i="1" s="1"/>
  <c r="K7" i="1" s="1"/>
  <c r="Z10" i="3" l="1"/>
  <c r="Z11" i="3" s="1"/>
  <c r="Z17" i="3"/>
  <c r="AA17" i="3" s="1"/>
  <c r="AB17" i="3" s="1"/>
  <c r="N11" i="3"/>
  <c r="N16" i="3" s="1"/>
  <c r="N18" i="3" s="1"/>
  <c r="N20" i="3" s="1"/>
  <c r="N21" i="3" s="1"/>
  <c r="M11" i="3"/>
  <c r="M16" i="3" s="1"/>
  <c r="AA13" i="3"/>
  <c r="Z15" i="3"/>
  <c r="Z16" i="3" s="1"/>
  <c r="Z18" i="3" s="1"/>
  <c r="Z20" i="3" s="1"/>
  <c r="Z21" i="3" s="1"/>
  <c r="M18" i="3"/>
  <c r="M20" i="3" s="1"/>
  <c r="M21" i="3" s="1"/>
  <c r="K11" i="3"/>
  <c r="K16" i="3" s="1"/>
  <c r="K18" i="3" s="1"/>
  <c r="K20" i="3" s="1"/>
  <c r="K21" i="3" s="1"/>
  <c r="L45" i="3"/>
  <c r="C16" i="3"/>
  <c r="C18" i="3" s="1"/>
  <c r="C20" i="3" s="1"/>
  <c r="C21" i="3" s="1"/>
  <c r="I16" i="3"/>
  <c r="I18" i="3" s="1"/>
  <c r="I20" i="3" s="1"/>
  <c r="I21" i="3" s="1"/>
  <c r="E16" i="3"/>
  <c r="E18" i="3" s="1"/>
  <c r="E20" i="3" s="1"/>
  <c r="E21" i="3" s="1"/>
  <c r="D16" i="3"/>
  <c r="D18" i="3" s="1"/>
  <c r="D20" i="3" s="1"/>
  <c r="D21" i="3" s="1"/>
  <c r="F16" i="3"/>
  <c r="F18" i="3" s="1"/>
  <c r="F20" i="3" s="1"/>
  <c r="F21" i="3" s="1"/>
  <c r="J16" i="3"/>
  <c r="J18" i="3" s="1"/>
  <c r="J20" i="3" s="1"/>
  <c r="J21" i="3" s="1"/>
  <c r="L35" i="3"/>
  <c r="G16" i="3"/>
  <c r="G18" i="3" s="1"/>
  <c r="G20" i="3" s="1"/>
  <c r="G21" i="3" s="1"/>
  <c r="L11" i="3"/>
  <c r="L16" i="3" s="1"/>
  <c r="L18" i="3" s="1"/>
  <c r="L20" i="3" s="1"/>
  <c r="L21" i="3" s="1"/>
  <c r="H16" i="3"/>
  <c r="H18" i="3" s="1"/>
  <c r="H20" i="3" s="1"/>
  <c r="H21" i="3" s="1"/>
  <c r="AB13" i="3" l="1"/>
  <c r="AB15" i="3" s="1"/>
  <c r="AB16" i="3" s="1"/>
  <c r="AB18" i="3" s="1"/>
  <c r="AA15" i="3"/>
  <c r="AA16" i="3" s="1"/>
  <c r="AA18" i="3" s="1"/>
  <c r="AA19" i="3" s="1"/>
  <c r="AA20" i="3" s="1"/>
  <c r="AA21" i="3" s="1"/>
  <c r="AB19" i="3" l="1"/>
  <c r="AB20" i="3" s="1"/>
  <c r="AB21" i="3" s="1"/>
</calcChain>
</file>

<file path=xl/sharedStrings.xml><?xml version="1.0" encoding="utf-8"?>
<sst xmlns="http://schemas.openxmlformats.org/spreadsheetml/2006/main" count="124" uniqueCount="109">
  <si>
    <t>Price</t>
  </si>
  <si>
    <t>Shares</t>
  </si>
  <si>
    <t>MC</t>
  </si>
  <si>
    <t>Cash</t>
  </si>
  <si>
    <t>Debt</t>
  </si>
  <si>
    <t>EV</t>
  </si>
  <si>
    <t>Carvykti (ciltacabtagene autoleucel)</t>
  </si>
  <si>
    <t>Name</t>
  </si>
  <si>
    <t>Indication</t>
  </si>
  <si>
    <t>Q224</t>
  </si>
  <si>
    <t>Main</t>
  </si>
  <si>
    <t>2L+ MM</t>
  </si>
  <si>
    <t>MOA</t>
  </si>
  <si>
    <t>BCMA CART</t>
  </si>
  <si>
    <t>Carvykti</t>
  </si>
  <si>
    <t>Brand</t>
  </si>
  <si>
    <t>Generic</t>
  </si>
  <si>
    <t>2L+ Multiple Myeloma</t>
  </si>
  <si>
    <t>Clinical Trials</t>
  </si>
  <si>
    <t>Regulatory</t>
  </si>
  <si>
    <t>FDA approval 2022</t>
  </si>
  <si>
    <t>Economics</t>
  </si>
  <si>
    <t>JNJ</t>
  </si>
  <si>
    <t>Approved</t>
  </si>
  <si>
    <t>IP</t>
  </si>
  <si>
    <t>Competition</t>
  </si>
  <si>
    <t>Administration</t>
  </si>
  <si>
    <t xml:space="preserve">Lymphodepletion with cyclophosphamide + fludaribine. </t>
  </si>
  <si>
    <t>PFS HR=0.41, p&lt;0.0001 (&gt;28 months vs. 12 months for standard therapy)</t>
  </si>
  <si>
    <t>CR 74% vs. 22.3%</t>
  </si>
  <si>
    <t>Q123</t>
  </si>
  <si>
    <t>Q223</t>
  </si>
  <si>
    <t>Q323</t>
  </si>
  <si>
    <t>Q423</t>
  </si>
  <si>
    <t>Q124</t>
  </si>
  <si>
    <t>Q324</t>
  </si>
  <si>
    <t>Q424</t>
  </si>
  <si>
    <t>License Revenue</t>
  </si>
  <si>
    <t>Collaboration Revenue</t>
  </si>
  <si>
    <t>Other Revenue</t>
  </si>
  <si>
    <t>Revenue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</si>
  <si>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</si>
  <si>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</si>
  <si>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</si>
  <si>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</si>
  <si>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</si>
  <si>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</si>
  <si>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</si>
  <si>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</si>
  <si>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</si>
  <si>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</si>
  <si>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</si>
  <si>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</si>
  <si>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Prepayments</t>
  </si>
  <si>
    <t>AR</t>
  </si>
  <si>
    <t>Collaboration Inventories</t>
  </si>
  <si>
    <t>ONCA</t>
  </si>
  <si>
    <t>Collab Prepaids</t>
  </si>
  <si>
    <t>Intangibles</t>
  </si>
  <si>
    <t>ROU</t>
  </si>
  <si>
    <t>PP&amp;E</t>
  </si>
  <si>
    <t>Assets</t>
  </si>
  <si>
    <t>AP</t>
  </si>
  <si>
    <t>Q122</t>
  </si>
  <si>
    <t>Q222</t>
  </si>
  <si>
    <t>Q322</t>
  </si>
  <si>
    <t>Q422</t>
  </si>
  <si>
    <t>LB2102</t>
  </si>
  <si>
    <t>Collaboration Revenue y/y</t>
  </si>
  <si>
    <t>Other Payables</t>
  </si>
  <si>
    <t>Grants</t>
  </si>
  <si>
    <t>Lease</t>
  </si>
  <si>
    <t>Contract</t>
  </si>
  <si>
    <t>Collaboration</t>
  </si>
  <si>
    <t>S/E</t>
  </si>
  <si>
    <t>L+S/E</t>
  </si>
  <si>
    <t>Pricing</t>
  </si>
  <si>
    <t>$465,000, but realized price $279,000</t>
  </si>
  <si>
    <t>Abecma</t>
  </si>
  <si>
    <t>OS HR=0.55, p&lt;0.0009 (76% vs. 64% at 30 months)</t>
  </si>
  <si>
    <t>CEO: Ying Huang</t>
  </si>
  <si>
    <t>LB1908</t>
  </si>
  <si>
    <t>NVS</t>
  </si>
  <si>
    <t>CD19xGPRC5D</t>
  </si>
  <si>
    <t>GCC</t>
  </si>
  <si>
    <t>mCRC</t>
  </si>
  <si>
    <t>Autologous Claudin 18.2</t>
  </si>
  <si>
    <t>Autologous DLL3</t>
  </si>
  <si>
    <t>Autologous BCMA CART</t>
  </si>
  <si>
    <t>Allogeneic CD19xBCMA</t>
  </si>
  <si>
    <t>Allogeneic CD20 CAR-alphabeta T</t>
  </si>
  <si>
    <t>BCMA CAR-NK</t>
  </si>
  <si>
    <t>MM</t>
  </si>
  <si>
    <t>BCMA CAR-gammadelta T</t>
  </si>
  <si>
    <t>Autologous CD19xCD20xCD22</t>
  </si>
  <si>
    <t>Phase</t>
  </si>
  <si>
    <t>MM has a 32,258 incidence in US (13,067 mortality)</t>
  </si>
  <si>
    <t>CARTITUDE-1 - NCT03548207</t>
  </si>
  <si>
    <t>CARTITUDE-2 - NCT04133636</t>
  </si>
  <si>
    <t>CARTITUDE-4 n=409 - NCT04181827</t>
  </si>
  <si>
    <t>CARTITUDE-5 - NCT04923893</t>
  </si>
  <si>
    <t>CARTITUDE-6 - NCT05257083</t>
  </si>
  <si>
    <t>LEGEND-2 - NCT03090659</t>
  </si>
  <si>
    <t>CARTIFAN-1</t>
  </si>
  <si>
    <t>50-50 in US, 50-50 in Europe, 70-30 in China, 50-50 Japan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</si>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</sst>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2" fillId="0" borderId="1" xfId="1" applyBorder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37EF11-D9F1-437C-BC94-9E84CC6719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36302</xdr:colOff>
      <xdr:row>0</xdr:row>
      <xdr:rowOff>0</xdr:rowOff>
    </xdr:from>
    <xdr:to>
      <xdr:col>13</xdr:col>
      <xdr:colOff>36302</xdr:colOff>
      <xdr:row>58</xdr:row>
      <xdr:rowOff>10026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FAE01F-D39B-18F6-B250-6C16C365DA58}"/>
            </a:ext>
          </a:extLst>
        </xdr:cNvPr>
        <xdr:cNvCxnSpPr/>
      </xdr:nvCxnSpPr>
      <xdr:spPr>
        <a:xfrm>
          <a:off x="11078733" y="0"/>
          <a:ext cx="0" cy="9535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20917</xdr:colOff>
      <xdr:row>0</xdr:row>
      <xdr:rowOff>0</xdr:rowOff>
    </xdr:from>
    <xdr:to>
      <xdr:col>25</xdr:col>
      <xdr:colOff>20917</xdr:colOff>
      <xdr:row>58</xdr:row>
      <xdr:rowOff>10026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8713AD0-E30F-4F95-94C0-DCAC990DD502}"/>
            </a:ext>
          </a:extLst>
        </xdr:cNvPr>
        <xdr:cNvCxnSpPr/>
      </xdr:nvCxnSpPr>
      <xdr:spPr>
        <a:xfrm>
          <a:off x="16561572" y="0"/>
          <a:ext cx="0" cy="9535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179800</xdr:colOff>
      <xdr:row>1</xdr:row>
      <xdr:rowOff>12157</xdr:rowOff>
    </xdr:from>
    <xdr:to>
      <xdr:col>10</xdr:col>
      <xdr:colOff>433692</xdr:colOff>
      <xdr:row>13</xdr:row>
      <xdr:rowOff>123250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71391-FF70-6DBA-E251-7D19B9F0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438" y="174285"/>
          <a:ext cx="2077828" cy="2056625"/>
        </a:xfrm>
        <a:prstGeom prst="rect">
          <a:avLst/>
        </a:prstGeom>
      </xdr:spPr>
    </xdr:pic>
    <xdr:clientData/>
  </xdr:twoCellAnchor>
  <xdr:twoCellAnchor editAs="oneCell">
    <xdr:from>
      <xdr:col>4</xdr:col>
      <xdr:colOff>250945</xdr:colOff>
      <xdr:row>23</xdr:row>
      <xdr:rowOff>105847</xdr:rowOff>
    </xdr:from>
    <xdr:to>
      <xdr:col>9</xdr:col>
      <xdr:colOff>364995</xdr:colOff>
      <xdr:row>33</xdr:row>
      <xdr:rowOff>76494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8FDF5-EDD2-8E13-E05D-8AF02703C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7749" y="3915847"/>
          <a:ext cx="3178616" cy="16271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59DC-CFC6-4781-A348-C8EDC926BF42}">
  <dimension ref="B2:L13"/>
  <sheetViews>
    <sheetView zoomScaleNormal="100" workbookViewId="0">
      <selection activeCell="L9" sqref="L9"/>
    </sheetView>
  </sheetViews>
  <sheetFormatPr defaultRowHeight="12.75" x14ac:dyDescent="0.2"/>
  <cols>
    <col min="1" max="1" width="4.140625" customWidth="1"/>
    <col min="2" max="2" width="31.28515625" bestFit="1" customWidth="1"/>
    <col min="3" max="3" width="11" customWidth="1"/>
    <col min="4" max="4" width="30.42578125" bestFit="1" customWidth="1"/>
    <col min="5" max="5" width="11.28515625" customWidth="1"/>
    <col min="7" max="7" width="10.85546875" bestFit="1" customWidth="1"/>
    <col min="9" max="9" width="4.5703125" customWidth="1"/>
  </cols>
  <sheetData>
    <row r="2" spans="2:12" x14ac:dyDescent="0.2">
      <c r="B2" s="9" t="s">
        <v>7</v>
      </c>
      <c r="C2" s="10" t="s">
        <v>8</v>
      </c>
      <c r="D2" s="10" t="s">
        <v>12</v>
      </c>
      <c r="E2" s="10" t="s">
        <v>21</v>
      </c>
      <c r="F2" s="10" t="s">
        <v>23</v>
      </c>
      <c r="G2" s="10" t="s">
        <v>25</v>
      </c>
      <c r="H2" s="11" t="s">
        <v>24</v>
      </c>
      <c r="J2" t="s">
        <v>0</v>
      </c>
      <c r="K2" s="1">
        <v>31.61</v>
      </c>
    </row>
    <row r="3" spans="2:12" x14ac:dyDescent="0.2">
      <c r="B3" s="13" t="s">
        <v>6</v>
      </c>
      <c r="C3" t="s">
        <v>11</v>
      </c>
      <c r="D3" t="s">
        <v>88</v>
      </c>
      <c r="E3" t="s">
        <v>22</v>
      </c>
      <c r="H3" s="5"/>
      <c r="J3" t="s">
        <v>1</v>
      </c>
      <c r="K3" s="3">
        <f>365.204154/2</f>
        <v>182.60207700000001</v>
      </c>
      <c r="L3" s="2" t="s">
        <v>9</v>
      </c>
    </row>
    <row r="4" spans="2:12" x14ac:dyDescent="0.2">
      <c r="B4" s="9"/>
      <c r="C4" s="10"/>
      <c r="D4" s="10"/>
      <c r="E4" s="10"/>
      <c r="F4" s="10" t="s">
        <v>95</v>
      </c>
      <c r="G4" s="10"/>
      <c r="H4" s="11"/>
      <c r="J4" t="s">
        <v>2</v>
      </c>
      <c r="K4" s="3">
        <f>+K2*K3</f>
        <v>5772.0516539700002</v>
      </c>
    </row>
    <row r="5" spans="2:12" x14ac:dyDescent="0.2">
      <c r="B5" s="4" t="s">
        <v>67</v>
      </c>
      <c r="D5" t="s">
        <v>87</v>
      </c>
      <c r="E5" t="s">
        <v>82</v>
      </c>
      <c r="H5" s="5"/>
      <c r="J5" t="s">
        <v>3</v>
      </c>
      <c r="K5" s="3">
        <v>1300</v>
      </c>
      <c r="L5" s="2" t="s">
        <v>9</v>
      </c>
    </row>
    <row r="6" spans="2:12" x14ac:dyDescent="0.2">
      <c r="B6" s="4" t="s">
        <v>81</v>
      </c>
      <c r="D6" t="s">
        <v>86</v>
      </c>
      <c r="E6" t="s">
        <v>82</v>
      </c>
      <c r="H6" s="5"/>
      <c r="J6" t="s">
        <v>4</v>
      </c>
      <c r="K6" s="3">
        <v>291.55900000000003</v>
      </c>
      <c r="L6" s="2" t="s">
        <v>9</v>
      </c>
    </row>
    <row r="7" spans="2:12" x14ac:dyDescent="0.2">
      <c r="B7" s="4"/>
      <c r="D7" t="s">
        <v>94</v>
      </c>
      <c r="E7" s="21">
        <v>1</v>
      </c>
      <c r="H7" s="5"/>
      <c r="J7" t="s">
        <v>5</v>
      </c>
      <c r="K7" s="3">
        <f>+K4-K5+K6</f>
        <v>4763.6106539700004</v>
      </c>
    </row>
    <row r="8" spans="2:12" x14ac:dyDescent="0.2">
      <c r="B8" s="4"/>
      <c r="D8" t="s">
        <v>89</v>
      </c>
      <c r="H8" s="5"/>
    </row>
    <row r="9" spans="2:12" x14ac:dyDescent="0.2">
      <c r="B9" s="4"/>
      <c r="C9" t="s">
        <v>85</v>
      </c>
      <c r="D9" t="s">
        <v>84</v>
      </c>
      <c r="H9" s="5"/>
      <c r="J9" t="s">
        <v>80</v>
      </c>
    </row>
    <row r="10" spans="2:12" x14ac:dyDescent="0.2">
      <c r="B10" s="4"/>
      <c r="C10" t="s">
        <v>92</v>
      </c>
      <c r="D10" t="s">
        <v>91</v>
      </c>
      <c r="H10" s="5"/>
    </row>
    <row r="11" spans="2:12" x14ac:dyDescent="0.2">
      <c r="B11" s="4"/>
      <c r="C11" t="s">
        <v>92</v>
      </c>
      <c r="D11" t="s">
        <v>93</v>
      </c>
      <c r="H11" s="5"/>
    </row>
    <row r="12" spans="2:12" x14ac:dyDescent="0.2">
      <c r="B12" s="4"/>
      <c r="D12" t="s">
        <v>90</v>
      </c>
      <c r="H12" s="5"/>
    </row>
    <row r="13" spans="2:12" x14ac:dyDescent="0.2">
      <c r="B13" s="6"/>
      <c r="C13" s="7"/>
      <c r="D13" s="7" t="s">
        <v>83</v>
      </c>
      <c r="E13" s="7"/>
      <c r="F13" s="7"/>
      <c r="G13" s="7"/>
      <c r="H13" s="8"/>
    </row>
  </sheetData>
  <hyperlinks>
    <hyperlink ref="B3" location="Carvykti!A1" display="Carvykti (ciltacabtagene autoleucel)" xr:uid="{2B14A413-9C14-4966-BB22-C9C098F45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A6D6-33FC-4271-A3C9-B3E4B8C02CAB}">
  <dimension ref="A1:AF4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2" sqref="M22"/>
    </sheetView>
  </sheetViews>
  <sheetFormatPr defaultRowHeight="12.75" x14ac:dyDescent="0.2"/>
  <cols>
    <col min="1" max="1" width="5" bestFit="1" customWidth="1"/>
    <col min="2" max="2" width="23.140625" bestFit="1" customWidth="1"/>
    <col min="3" max="17" width="9.140625" style="2"/>
  </cols>
  <sheetData>
    <row r="1" spans="1:32" x14ac:dyDescent="0.2">
      <c r="A1" s="12" t="s">
        <v>10</v>
      </c>
    </row>
    <row r="2" spans="1:32" x14ac:dyDescent="0.2">
      <c r="C2" s="2" t="s">
        <v>63</v>
      </c>
      <c r="D2" s="2" t="s">
        <v>64</v>
      </c>
      <c r="E2" s="2" t="s">
        <v>65</v>
      </c>
      <c r="F2" s="2" t="s">
        <v>66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9</v>
      </c>
      <c r="M2" s="2" t="s">
        <v>35</v>
      </c>
      <c r="N2" s="2" t="s">
        <v>36</v>
      </c>
      <c r="O2" s="2" t="s">
        <v>105</v>
      </c>
      <c r="P2" s="2" t="s">
        <v>106</v>
      </c>
      <c r="Q2" s="2" t="s">
        <v>107</v>
      </c>
      <c r="R2" s="2" t="s">
        <v>108</v>
      </c>
      <c r="V2">
        <v>2020</v>
      </c>
      <c r="W2">
        <f>+V2+1</f>
        <v>2021</v>
      </c>
      <c r="X2">
        <f t="shared" ref="X2:AF2" si="0">+W2+1</f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</row>
    <row r="3" spans="1:32" x14ac:dyDescent="0.2">
      <c r="B3" t="s">
        <v>78</v>
      </c>
      <c r="C3" s="20">
        <v>67</v>
      </c>
      <c r="D3" s="20">
        <v>89</v>
      </c>
      <c r="E3" s="20">
        <v>107</v>
      </c>
      <c r="F3" s="20">
        <v>125</v>
      </c>
      <c r="G3" s="20">
        <v>147</v>
      </c>
      <c r="H3" s="20">
        <v>132</v>
      </c>
      <c r="I3" s="20">
        <v>93</v>
      </c>
      <c r="J3" s="20">
        <v>100</v>
      </c>
      <c r="K3" s="20">
        <v>82</v>
      </c>
      <c r="L3" s="20">
        <v>95</v>
      </c>
      <c r="Z3" s="3"/>
    </row>
    <row r="4" spans="1:32" x14ac:dyDescent="0.2">
      <c r="B4" t="s">
        <v>14</v>
      </c>
      <c r="D4" s="15">
        <v>24</v>
      </c>
      <c r="E4" s="15">
        <v>55</v>
      </c>
      <c r="F4" s="15">
        <v>54</v>
      </c>
      <c r="G4" s="15">
        <v>72</v>
      </c>
      <c r="H4" s="15">
        <v>117</v>
      </c>
      <c r="I4" s="15">
        <v>152</v>
      </c>
      <c r="J4" s="15">
        <v>159</v>
      </c>
      <c r="K4" s="15">
        <v>157</v>
      </c>
      <c r="L4" s="15">
        <v>186</v>
      </c>
      <c r="M4" s="2">
        <v>286</v>
      </c>
      <c r="N4" s="15">
        <f>+J4*1.5</f>
        <v>238.5</v>
      </c>
      <c r="O4" s="15"/>
      <c r="P4" s="15"/>
      <c r="Q4" s="15"/>
      <c r="S4" s="3"/>
      <c r="Z4" s="3">
        <f>SUM(K4:N4)</f>
        <v>867.5</v>
      </c>
      <c r="AA4" s="3">
        <f>+Z4*1.8</f>
        <v>1561.5</v>
      </c>
      <c r="AB4" s="3">
        <f>+AA4*1.8</f>
        <v>2810.7000000000003</v>
      </c>
    </row>
    <row r="5" spans="1:32" x14ac:dyDescent="0.2">
      <c r="S5" s="1"/>
    </row>
    <row r="6" spans="1:32" s="3" customFormat="1" x14ac:dyDescent="0.2">
      <c r="B6" s="3" t="s">
        <v>37</v>
      </c>
      <c r="C6" s="15">
        <v>50</v>
      </c>
      <c r="D6" s="15">
        <v>0</v>
      </c>
      <c r="E6" s="15">
        <v>0</v>
      </c>
      <c r="F6" s="15">
        <v>0</v>
      </c>
      <c r="G6" s="15">
        <v>0</v>
      </c>
      <c r="H6" s="15">
        <v>15.115</v>
      </c>
      <c r="I6" s="15">
        <v>20.056999999999999</v>
      </c>
      <c r="J6" s="15">
        <v>0</v>
      </c>
      <c r="K6" s="15">
        <v>12.180999999999999</v>
      </c>
      <c r="L6" s="15">
        <v>90.846000000000004</v>
      </c>
      <c r="M6" s="15">
        <v>17.096</v>
      </c>
      <c r="N6" s="15"/>
      <c r="O6" s="15"/>
      <c r="P6" s="15"/>
      <c r="Q6" s="15"/>
      <c r="Z6" s="3">
        <f>SUM(K6:N6)</f>
        <v>120.123</v>
      </c>
    </row>
    <row r="7" spans="1:32" s="3" customFormat="1" x14ac:dyDescent="0.2">
      <c r="B7" s="3" t="s">
        <v>38</v>
      </c>
      <c r="C7" s="15">
        <v>0</v>
      </c>
      <c r="D7" s="15">
        <v>11.936999999999999</v>
      </c>
      <c r="E7" s="15">
        <v>27.298999999999999</v>
      </c>
      <c r="F7" s="15">
        <v>27.440999999999999</v>
      </c>
      <c r="G7" s="15">
        <v>36.28</v>
      </c>
      <c r="H7" s="15">
        <v>58.152000000000001</v>
      </c>
      <c r="I7" s="15">
        <v>75.936999999999998</v>
      </c>
      <c r="J7" s="15">
        <v>79.435000000000002</v>
      </c>
      <c r="K7" s="15">
        <v>78.480999999999995</v>
      </c>
      <c r="L7" s="15">
        <v>93.254000000000005</v>
      </c>
      <c r="M7" s="15">
        <v>142.828</v>
      </c>
      <c r="N7" s="15">
        <f>+N4/2</f>
        <v>119.25</v>
      </c>
      <c r="O7" s="15"/>
      <c r="P7" s="15"/>
      <c r="Q7" s="15"/>
      <c r="Z7" s="3">
        <f>SUM(K7:N7)</f>
        <v>433.81299999999999</v>
      </c>
      <c r="AA7" s="3">
        <f>+AA4/2</f>
        <v>780.75</v>
      </c>
      <c r="AB7" s="3">
        <f>+AB4/2</f>
        <v>1405.3500000000001</v>
      </c>
    </row>
    <row r="8" spans="1:32" s="3" customFormat="1" x14ac:dyDescent="0.2">
      <c r="B8" s="3" t="s">
        <v>39</v>
      </c>
      <c r="C8" s="15">
        <v>0.04</v>
      </c>
      <c r="D8" s="15">
        <v>3.4000000000000002E-2</v>
      </c>
      <c r="E8" s="15">
        <v>6.2E-2</v>
      </c>
      <c r="F8" s="15">
        <v>0.192</v>
      </c>
      <c r="G8" s="15">
        <v>5.6000000000000001E-2</v>
      </c>
      <c r="H8" s="15">
        <v>6.3E-2</v>
      </c>
      <c r="I8" s="15">
        <v>1.9E-2</v>
      </c>
      <c r="J8" s="15">
        <v>2.9000000000000001E-2</v>
      </c>
      <c r="K8" s="15">
        <v>3.3290000000000002</v>
      </c>
      <c r="L8" s="15">
        <v>2.423</v>
      </c>
      <c r="M8" s="15">
        <v>0.28100000000000003</v>
      </c>
      <c r="N8" s="15"/>
      <c r="O8" s="15"/>
      <c r="P8" s="15"/>
      <c r="Q8" s="15"/>
      <c r="Z8" s="3">
        <f>SUM(K8:N8)</f>
        <v>6.0330000000000004</v>
      </c>
    </row>
    <row r="9" spans="1:32" s="16" customFormat="1" x14ac:dyDescent="0.2">
      <c r="B9" s="16" t="s">
        <v>40</v>
      </c>
      <c r="C9" s="17">
        <f t="shared" ref="C9:F9" si="1">SUM(C6:C8)</f>
        <v>50.04</v>
      </c>
      <c r="D9" s="17">
        <f t="shared" si="1"/>
        <v>11.971</v>
      </c>
      <c r="E9" s="17">
        <f t="shared" si="1"/>
        <v>27.361000000000001</v>
      </c>
      <c r="F9" s="17">
        <f t="shared" si="1"/>
        <v>27.632999999999999</v>
      </c>
      <c r="G9" s="17">
        <f t="shared" ref="G9:R9" si="2">SUM(G6:G8)</f>
        <v>36.335999999999999</v>
      </c>
      <c r="H9" s="17">
        <f t="shared" si="2"/>
        <v>73.33</v>
      </c>
      <c r="I9" s="17">
        <f t="shared" si="2"/>
        <v>96.013000000000005</v>
      </c>
      <c r="J9" s="17">
        <f t="shared" si="2"/>
        <v>79.463999999999999</v>
      </c>
      <c r="K9" s="17">
        <f t="shared" si="2"/>
        <v>93.990999999999985</v>
      </c>
      <c r="L9" s="17">
        <f t="shared" si="2"/>
        <v>186.52300000000002</v>
      </c>
      <c r="M9" s="17">
        <f t="shared" si="2"/>
        <v>160.20500000000001</v>
      </c>
      <c r="N9" s="17">
        <f t="shared" si="2"/>
        <v>119.25</v>
      </c>
      <c r="O9" s="17">
        <f t="shared" si="2"/>
        <v>0</v>
      </c>
      <c r="P9" s="17">
        <f t="shared" si="2"/>
        <v>0</v>
      </c>
      <c r="Q9" s="17">
        <f t="shared" si="2"/>
        <v>0</v>
      </c>
      <c r="R9" s="17">
        <f t="shared" si="2"/>
        <v>0</v>
      </c>
      <c r="Z9" s="16">
        <f>SUM(Z6:Z8)</f>
        <v>559.96900000000005</v>
      </c>
      <c r="AA9" s="16">
        <f>SUM(AA6:AA8)</f>
        <v>780.75</v>
      </c>
      <c r="AB9" s="16">
        <f>SUM(AB6:AB8)</f>
        <v>1405.3500000000001</v>
      </c>
    </row>
    <row r="10" spans="1:32" s="3" customFormat="1" x14ac:dyDescent="0.2">
      <c r="B10" s="3" t="s">
        <v>41</v>
      </c>
      <c r="C10" s="15">
        <v>0</v>
      </c>
      <c r="D10" s="15">
        <v>16.939</v>
      </c>
      <c r="E10" s="15">
        <v>25.46</v>
      </c>
      <c r="F10" s="15">
        <v>22.963999999999999</v>
      </c>
      <c r="G10" s="15">
        <v>35.613</v>
      </c>
      <c r="H10" s="15">
        <v>32.671999999999997</v>
      </c>
      <c r="I10" s="15">
        <v>43.478999999999999</v>
      </c>
      <c r="J10" s="15">
        <v>32.450000000000003</v>
      </c>
      <c r="K10" s="15">
        <f>49.101+5.638</f>
        <v>54.738999999999997</v>
      </c>
      <c r="L10" s="15">
        <f>45.355+5.096</f>
        <v>50.450999999999993</v>
      </c>
      <c r="M10" s="15">
        <f>52.51+2.959</f>
        <v>55.469000000000001</v>
      </c>
      <c r="N10" s="15">
        <f>+M10</f>
        <v>55.469000000000001</v>
      </c>
      <c r="O10" s="15"/>
      <c r="P10" s="15"/>
      <c r="Q10" s="15"/>
      <c r="Z10" s="3">
        <f>SUM(K10:N10)</f>
        <v>216.12799999999999</v>
      </c>
      <c r="AA10" s="3">
        <f>+AA9*0.3</f>
        <v>234.22499999999999</v>
      </c>
      <c r="AB10" s="3">
        <f>+AB9*0.3</f>
        <v>421.60500000000002</v>
      </c>
    </row>
    <row r="11" spans="1:32" s="3" customFormat="1" x14ac:dyDescent="0.2">
      <c r="B11" s="3" t="s">
        <v>42</v>
      </c>
      <c r="C11" s="15">
        <f>+C9-C10</f>
        <v>50.04</v>
      </c>
      <c r="D11" s="15">
        <f>+D9-D10</f>
        <v>-4.968</v>
      </c>
      <c r="E11" s="15">
        <f>+E9-E10</f>
        <v>1.9009999999999998</v>
      </c>
      <c r="F11" s="15">
        <f t="shared" ref="F11" si="3">+F9-F10</f>
        <v>4.6690000000000005</v>
      </c>
      <c r="G11" s="15">
        <f t="shared" ref="G11:N11" si="4">+G9-G10</f>
        <v>0.72299999999999898</v>
      </c>
      <c r="H11" s="15">
        <f t="shared" si="4"/>
        <v>40.658000000000001</v>
      </c>
      <c r="I11" s="15">
        <f t="shared" si="4"/>
        <v>52.534000000000006</v>
      </c>
      <c r="J11" s="15">
        <f t="shared" si="4"/>
        <v>47.013999999999996</v>
      </c>
      <c r="K11" s="15">
        <f t="shared" si="4"/>
        <v>39.251999999999988</v>
      </c>
      <c r="L11" s="15">
        <f t="shared" si="4"/>
        <v>136.07200000000003</v>
      </c>
      <c r="M11" s="15">
        <f t="shared" si="4"/>
        <v>104.73600000000002</v>
      </c>
      <c r="N11" s="15">
        <f t="shared" si="4"/>
        <v>63.780999999999999</v>
      </c>
      <c r="O11" s="15"/>
      <c r="P11" s="15"/>
      <c r="Q11" s="15"/>
      <c r="Z11" s="3">
        <f>+Z9-Z10</f>
        <v>343.84100000000007</v>
      </c>
      <c r="AA11" s="3">
        <f>+AA9-AA10</f>
        <v>546.52499999999998</v>
      </c>
      <c r="AB11" s="3">
        <f>+AB9-AB10</f>
        <v>983.74500000000012</v>
      </c>
    </row>
    <row r="12" spans="1:32" s="3" customFormat="1" x14ac:dyDescent="0.2">
      <c r="B12" s="3" t="s">
        <v>43</v>
      </c>
      <c r="C12" s="15">
        <v>81.548000000000002</v>
      </c>
      <c r="D12" s="15">
        <v>68.826999999999998</v>
      </c>
      <c r="E12" s="15">
        <v>104.517</v>
      </c>
      <c r="F12" s="15">
        <v>80.756</v>
      </c>
      <c r="G12" s="15">
        <v>84.888999999999996</v>
      </c>
      <c r="H12" s="15">
        <v>95.790999999999997</v>
      </c>
      <c r="I12" s="15">
        <v>95.855000000000004</v>
      </c>
      <c r="J12" s="15">
        <v>105.68300000000001</v>
      </c>
      <c r="K12" s="15">
        <v>100.964</v>
      </c>
      <c r="L12" s="15">
        <v>112.626</v>
      </c>
      <c r="M12" s="15">
        <v>95.522000000000006</v>
      </c>
      <c r="N12" s="15"/>
      <c r="O12" s="15"/>
      <c r="P12" s="15"/>
      <c r="Q12" s="15"/>
      <c r="Z12" s="3">
        <f>SUM(K12:N12)</f>
        <v>309.11200000000002</v>
      </c>
    </row>
    <row r="13" spans="1:32" s="3" customFormat="1" x14ac:dyDescent="0.2">
      <c r="B13" s="3" t="s">
        <v>44</v>
      </c>
      <c r="C13" s="15">
        <v>12.657</v>
      </c>
      <c r="D13" s="15">
        <v>18.05</v>
      </c>
      <c r="E13" s="15">
        <v>23.242999999999999</v>
      </c>
      <c r="F13" s="15">
        <v>26.681000000000001</v>
      </c>
      <c r="G13" s="15">
        <v>22.204999999999998</v>
      </c>
      <c r="H13" s="15">
        <v>27.753</v>
      </c>
      <c r="I13" s="15">
        <v>28.103999999999999</v>
      </c>
      <c r="J13" s="15">
        <v>28.707000000000001</v>
      </c>
      <c r="K13" s="15">
        <v>31.928999999999998</v>
      </c>
      <c r="L13" s="15">
        <v>35.353000000000002</v>
      </c>
      <c r="M13" s="15">
        <v>35.299999999999997</v>
      </c>
      <c r="N13" s="15">
        <f>+M13</f>
        <v>35.299999999999997</v>
      </c>
      <c r="O13" s="15"/>
      <c r="P13" s="15"/>
      <c r="Q13" s="15"/>
      <c r="Z13" s="3">
        <f>SUM(K13:N13)</f>
        <v>137.88200000000001</v>
      </c>
      <c r="AA13" s="3">
        <f>+Z13</f>
        <v>137.88200000000001</v>
      </c>
      <c r="AB13" s="3">
        <f>+AA13</f>
        <v>137.88200000000001</v>
      </c>
    </row>
    <row r="14" spans="1:32" s="3" customFormat="1" x14ac:dyDescent="0.2">
      <c r="B14" s="3" t="s">
        <v>45</v>
      </c>
      <c r="C14" s="15">
        <v>21.302</v>
      </c>
      <c r="D14" s="15">
        <v>27.44</v>
      </c>
      <c r="E14" s="15">
        <v>18.852</v>
      </c>
      <c r="F14" s="15">
        <v>25.823</v>
      </c>
      <c r="G14" s="15">
        <v>17.954000000000001</v>
      </c>
      <c r="H14" s="15">
        <v>21.428999999999998</v>
      </c>
      <c r="I14" s="15">
        <v>21.097999999999999</v>
      </c>
      <c r="J14" s="15">
        <v>33.677</v>
      </c>
      <c r="K14" s="15">
        <v>24.222999999999999</v>
      </c>
      <c r="L14" s="15">
        <v>30.062999999999999</v>
      </c>
      <c r="M14" s="15">
        <v>44.27</v>
      </c>
      <c r="N14" s="15">
        <f>+M14</f>
        <v>44.27</v>
      </c>
      <c r="O14" s="15"/>
      <c r="P14" s="15"/>
      <c r="Q14" s="15"/>
      <c r="Z14" s="3">
        <f>SUM(K14:N14)</f>
        <v>142.82600000000002</v>
      </c>
      <c r="AA14" s="3">
        <f>+Z14</f>
        <v>142.82600000000002</v>
      </c>
      <c r="AB14" s="3">
        <f>+AA14</f>
        <v>142.82600000000002</v>
      </c>
    </row>
    <row r="15" spans="1:32" s="3" customFormat="1" x14ac:dyDescent="0.2">
      <c r="B15" s="3" t="s">
        <v>46</v>
      </c>
      <c r="C15" s="15">
        <f t="shared" ref="C15:E15" si="5">SUM(C12:C14)</f>
        <v>115.50700000000001</v>
      </c>
      <c r="D15" s="15">
        <f t="shared" si="5"/>
        <v>114.31699999999999</v>
      </c>
      <c r="E15" s="15">
        <f t="shared" si="5"/>
        <v>146.61199999999999</v>
      </c>
      <c r="F15" s="15">
        <f t="shared" ref="F15" si="6">SUM(F12:F14)</f>
        <v>133.26</v>
      </c>
      <c r="G15" s="15">
        <f>SUM(G12:G14)</f>
        <v>125.048</v>
      </c>
      <c r="H15" s="15">
        <f>SUM(H12:H14)</f>
        <v>144.97299999999998</v>
      </c>
      <c r="I15" s="15">
        <f t="shared" ref="I15:K15" si="7">SUM(I12:I14)</f>
        <v>145.05700000000002</v>
      </c>
      <c r="J15" s="15">
        <f t="shared" si="7"/>
        <v>168.06700000000001</v>
      </c>
      <c r="K15" s="15">
        <f t="shared" si="7"/>
        <v>157.11599999999999</v>
      </c>
      <c r="L15" s="15">
        <f>SUM(L12:L14)</f>
        <v>178.042</v>
      </c>
      <c r="M15" s="15">
        <f>SUM(M12:M14)</f>
        <v>175.09200000000001</v>
      </c>
      <c r="N15" s="15">
        <f>SUM(N12:N14)</f>
        <v>79.569999999999993</v>
      </c>
      <c r="O15" s="15"/>
      <c r="P15" s="15"/>
      <c r="Q15" s="15"/>
      <c r="Z15" s="15">
        <f>SUM(Z12:Z14)</f>
        <v>589.82000000000005</v>
      </c>
      <c r="AA15" s="15">
        <f t="shared" ref="AA15:AB15" si="8">SUM(AA12:AA14)</f>
        <v>280.70800000000003</v>
      </c>
      <c r="AB15" s="15">
        <f t="shared" si="8"/>
        <v>280.70800000000003</v>
      </c>
    </row>
    <row r="16" spans="1:32" s="3" customFormat="1" x14ac:dyDescent="0.2">
      <c r="B16" s="3" t="s">
        <v>47</v>
      </c>
      <c r="C16" s="15">
        <f t="shared" ref="C16:E16" si="9">+C11-C15</f>
        <v>-65.467000000000013</v>
      </c>
      <c r="D16" s="15">
        <f t="shared" si="9"/>
        <v>-119.285</v>
      </c>
      <c r="E16" s="15">
        <f t="shared" si="9"/>
        <v>-144.71099999999998</v>
      </c>
      <c r="F16" s="15">
        <f t="shared" ref="F16" si="10">+F11-F15</f>
        <v>-128.59099999999998</v>
      </c>
      <c r="G16" s="15">
        <f>+G11-G15</f>
        <v>-124.325</v>
      </c>
      <c r="H16" s="15">
        <f>+H11-H15</f>
        <v>-104.31499999999998</v>
      </c>
      <c r="I16" s="15">
        <f t="shared" ref="I16:K16" si="11">+I11-I15</f>
        <v>-92.52300000000001</v>
      </c>
      <c r="J16" s="15">
        <f t="shared" si="11"/>
        <v>-121.05300000000001</v>
      </c>
      <c r="K16" s="15">
        <f t="shared" si="11"/>
        <v>-117.864</v>
      </c>
      <c r="L16" s="15">
        <f>+L11-L15</f>
        <v>-41.96999999999997</v>
      </c>
      <c r="M16" s="15">
        <f>+M11-M15</f>
        <v>-70.355999999999995</v>
      </c>
      <c r="N16" s="15">
        <f>+N11-N15</f>
        <v>-15.788999999999994</v>
      </c>
      <c r="O16" s="15"/>
      <c r="P16" s="15"/>
      <c r="Q16" s="15"/>
      <c r="Z16" s="15">
        <f>+Z11-Z15</f>
        <v>-245.97899999999998</v>
      </c>
      <c r="AA16" s="15">
        <f t="shared" ref="AA16:AB16" si="12">+AA11-AA15</f>
        <v>265.81699999999995</v>
      </c>
      <c r="AB16" s="15">
        <f t="shared" si="12"/>
        <v>703.03700000000003</v>
      </c>
    </row>
    <row r="17" spans="2:28" s="3" customFormat="1" x14ac:dyDescent="0.2">
      <c r="B17" s="3" t="s">
        <v>52</v>
      </c>
      <c r="C17" s="15">
        <f>-1.527+1.012</f>
        <v>-0.5149999999999999</v>
      </c>
      <c r="D17" s="15">
        <f>1.856-1.643</f>
        <v>0.21300000000000008</v>
      </c>
      <c r="E17" s="15">
        <f>3.924-3.248</f>
        <v>0.67599999999999971</v>
      </c>
      <c r="F17" s="15">
        <f>7.356-4.861</f>
        <v>2.4950000000000001</v>
      </c>
      <c r="G17" s="15">
        <f>8.199-5.113</f>
        <v>3.0859999999999994</v>
      </c>
      <c r="H17" s="15">
        <f>16.433-5.185</f>
        <v>11.248000000000001</v>
      </c>
      <c r="I17" s="15">
        <f>35.838-5.676</f>
        <v>30.161999999999999</v>
      </c>
      <c r="J17" s="15">
        <f>-38.389+18.45</f>
        <v>-19.939000000000004</v>
      </c>
      <c r="K17" s="15">
        <f>64.091-0.54-5.475</f>
        <v>58.075999999999993</v>
      </c>
      <c r="L17" s="15">
        <f>29.484-5.484</f>
        <v>24</v>
      </c>
      <c r="M17" s="15">
        <f>-5.504+16.815-61.841</f>
        <v>-50.53</v>
      </c>
      <c r="N17" s="15">
        <f>+M17</f>
        <v>-50.53</v>
      </c>
      <c r="O17" s="15"/>
      <c r="P17" s="15"/>
      <c r="Q17" s="15"/>
      <c r="Z17" s="3">
        <f>SUM(K17:N17)</f>
        <v>-18.984000000000009</v>
      </c>
      <c r="AA17" s="3">
        <f>+Z17</f>
        <v>-18.984000000000009</v>
      </c>
      <c r="AB17" s="3">
        <f>+AA17</f>
        <v>-18.984000000000009</v>
      </c>
    </row>
    <row r="18" spans="2:28" s="3" customFormat="1" x14ac:dyDescent="0.2">
      <c r="B18" s="3" t="s">
        <v>51</v>
      </c>
      <c r="C18" s="15">
        <f t="shared" ref="C18:F18" si="13">+C16+C17</f>
        <v>-65.982000000000014</v>
      </c>
      <c r="D18" s="15">
        <f t="shared" si="13"/>
        <v>-119.072</v>
      </c>
      <c r="E18" s="15">
        <f t="shared" si="13"/>
        <v>-144.035</v>
      </c>
      <c r="F18" s="15">
        <f t="shared" si="13"/>
        <v>-126.09599999999998</v>
      </c>
      <c r="G18" s="15">
        <f>+G16+G17</f>
        <v>-121.239</v>
      </c>
      <c r="H18" s="15">
        <f>+H16+H17</f>
        <v>-93.066999999999979</v>
      </c>
      <c r="I18" s="15">
        <f t="shared" ref="I18" si="14">+I16+I17</f>
        <v>-62.361000000000011</v>
      </c>
      <c r="J18" s="15">
        <f>+J16+J17</f>
        <v>-140.99200000000002</v>
      </c>
      <c r="K18" s="15">
        <f>+K16+K17</f>
        <v>-59.788000000000011</v>
      </c>
      <c r="L18" s="15">
        <f>+L16+L17</f>
        <v>-17.96999999999997</v>
      </c>
      <c r="M18" s="15">
        <f>+M16+M17</f>
        <v>-120.886</v>
      </c>
      <c r="N18" s="15">
        <f>+N16+N17</f>
        <v>-66.318999999999988</v>
      </c>
      <c r="O18" s="15"/>
      <c r="P18" s="15"/>
      <c r="Q18" s="15"/>
      <c r="Z18" s="15">
        <f>+Z16+Z17</f>
        <v>-264.96299999999997</v>
      </c>
      <c r="AA18" s="15">
        <f>+AA16+AA17</f>
        <v>246.83299999999994</v>
      </c>
      <c r="AB18" s="15">
        <f>+AB16+AB17</f>
        <v>684.053</v>
      </c>
    </row>
    <row r="19" spans="2:28" s="3" customFormat="1" x14ac:dyDescent="0.2">
      <c r="B19" s="3" t="s">
        <v>50</v>
      </c>
      <c r="C19" s="15">
        <v>0.16300000000000001</v>
      </c>
      <c r="D19" s="15">
        <v>0.157</v>
      </c>
      <c r="E19" s="15">
        <v>0.152</v>
      </c>
      <c r="F19" s="15">
        <v>0.153</v>
      </c>
      <c r="G19" s="15">
        <v>0.128</v>
      </c>
      <c r="H19" s="15">
        <v>0.28999999999999998</v>
      </c>
      <c r="I19" s="15">
        <v>-0.28799999999999998</v>
      </c>
      <c r="J19" s="15">
        <v>5.0000000000000001E-3</v>
      </c>
      <c r="K19" s="15">
        <v>5.0000000000000001E-3</v>
      </c>
      <c r="L19" s="15">
        <v>0.22600000000000001</v>
      </c>
      <c r="M19" s="15">
        <v>4.4349999999999996</v>
      </c>
      <c r="N19" s="15">
        <v>0</v>
      </c>
      <c r="O19" s="15"/>
      <c r="P19" s="15"/>
      <c r="Q19" s="15"/>
      <c r="Z19" s="3">
        <f>SUM(K19:N19)</f>
        <v>4.6659999999999995</v>
      </c>
      <c r="AA19" s="3">
        <f>+AA18*0.1</f>
        <v>24.683299999999996</v>
      </c>
      <c r="AB19" s="3">
        <f>+AB18*0.1</f>
        <v>68.405299999999997</v>
      </c>
    </row>
    <row r="20" spans="2:28" s="3" customFormat="1" x14ac:dyDescent="0.2">
      <c r="B20" s="3" t="s">
        <v>49</v>
      </c>
      <c r="C20" s="15">
        <f t="shared" ref="C20:F20" si="15">+C18-C19</f>
        <v>-66.14500000000001</v>
      </c>
      <c r="D20" s="15">
        <f t="shared" si="15"/>
        <v>-119.229</v>
      </c>
      <c r="E20" s="15">
        <f t="shared" si="15"/>
        <v>-144.18699999999998</v>
      </c>
      <c r="F20" s="15">
        <f t="shared" si="15"/>
        <v>-126.24899999999998</v>
      </c>
      <c r="G20" s="15">
        <f>+G18-G19</f>
        <v>-121.367</v>
      </c>
      <c r="H20" s="15">
        <f>+H18-H19</f>
        <v>-93.356999999999985</v>
      </c>
      <c r="I20" s="15">
        <f t="shared" ref="I20" si="16">+I18-I19</f>
        <v>-62.073000000000015</v>
      </c>
      <c r="J20" s="15">
        <f>+J18-J19</f>
        <v>-140.99700000000001</v>
      </c>
      <c r="K20" s="15">
        <f>+K18-K19</f>
        <v>-59.793000000000013</v>
      </c>
      <c r="L20" s="15">
        <f>+L18-L19</f>
        <v>-18.19599999999997</v>
      </c>
      <c r="M20" s="15">
        <f>+M18-M19</f>
        <v>-125.321</v>
      </c>
      <c r="N20" s="15">
        <f>+N18-N19</f>
        <v>-66.318999999999988</v>
      </c>
      <c r="O20" s="15"/>
      <c r="P20" s="15"/>
      <c r="Q20" s="15"/>
      <c r="Z20" s="3">
        <f>+Z18-Z19</f>
        <v>-269.62899999999996</v>
      </c>
      <c r="AA20" s="3">
        <f>+AA18-AA19</f>
        <v>222.14969999999994</v>
      </c>
      <c r="AB20" s="3">
        <f>+AB18-AB19</f>
        <v>615.64769999999999</v>
      </c>
    </row>
    <row r="21" spans="2:28" x14ac:dyDescent="0.2">
      <c r="B21" t="s">
        <v>48</v>
      </c>
      <c r="C21" s="18">
        <f t="shared" ref="C21:F21" si="17">C20/C22</f>
        <v>-0.21427018783609156</v>
      </c>
      <c r="D21" s="18">
        <f t="shared" si="17"/>
        <v>-0.38488553357222977</v>
      </c>
      <c r="E21" s="18">
        <f t="shared" si="17"/>
        <v>-0.44551523306641511</v>
      </c>
      <c r="F21" s="18">
        <f t="shared" si="17"/>
        <v>-0.38266144790921502</v>
      </c>
      <c r="G21" s="18">
        <f t="shared" ref="G21:N21" si="18">G20/G22</f>
        <v>-0.36722564368134553</v>
      </c>
      <c r="H21" s="18">
        <f t="shared" si="18"/>
        <v>-0.26634053623621662</v>
      </c>
      <c r="I21" s="18">
        <f t="shared" si="18"/>
        <v>-0.17096457830586836</v>
      </c>
      <c r="J21" s="18">
        <f t="shared" si="18"/>
        <v>-0.38734329779326188</v>
      </c>
      <c r="K21" s="18">
        <f t="shared" si="18"/>
        <v>-0.16426177723605831</v>
      </c>
      <c r="L21" s="18">
        <f t="shared" si="18"/>
        <v>-4.9824186830032521E-2</v>
      </c>
      <c r="M21" s="18">
        <f t="shared" si="18"/>
        <v>-0.34188168305394545</v>
      </c>
      <c r="N21" s="18">
        <f t="shared" si="18"/>
        <v>-0.18092140454077613</v>
      </c>
      <c r="O21" s="18"/>
      <c r="P21" s="18"/>
      <c r="Q21" s="18"/>
      <c r="Z21" s="18">
        <f>Z20/Z22</f>
        <v>-0.73752774780474606</v>
      </c>
      <c r="AA21" s="18">
        <f>AA20/AA22</f>
        <v>0.6076555856992385</v>
      </c>
      <c r="AB21" s="18">
        <f>AB20/AB22</f>
        <v>1.6840075126272469</v>
      </c>
    </row>
    <row r="22" spans="2:28" x14ac:dyDescent="0.2">
      <c r="B22" t="s">
        <v>1</v>
      </c>
      <c r="C22" s="15">
        <v>308.69903399999998</v>
      </c>
      <c r="D22" s="15">
        <v>309.77781599999997</v>
      </c>
      <c r="E22" s="15">
        <v>323.64100999999999</v>
      </c>
      <c r="F22" s="15">
        <v>329.92348900000002</v>
      </c>
      <c r="G22" s="15">
        <v>330.497072</v>
      </c>
      <c r="H22" s="15">
        <v>350.51742899999999</v>
      </c>
      <c r="I22" s="15">
        <v>363.07520899999997</v>
      </c>
      <c r="J22" s="15">
        <v>364.01042899999999</v>
      </c>
      <c r="K22" s="15">
        <v>364.01042899999999</v>
      </c>
      <c r="L22" s="15">
        <v>365.20415400000002</v>
      </c>
      <c r="M22" s="15">
        <v>366.56248699999998</v>
      </c>
      <c r="N22" s="15">
        <f>+M22</f>
        <v>366.56248699999998</v>
      </c>
      <c r="O22" s="15"/>
      <c r="P22" s="15"/>
      <c r="Q22" s="15"/>
      <c r="Z22" s="3">
        <f>AVERAGE(K22:N22)</f>
        <v>365.58488924999995</v>
      </c>
      <c r="AA22" s="3">
        <f>+Z22</f>
        <v>365.58488924999995</v>
      </c>
      <c r="AB22" s="3">
        <f>+AA22</f>
        <v>365.58488924999995</v>
      </c>
    </row>
    <row r="24" spans="2:28" x14ac:dyDescent="0.2">
      <c r="B24" t="s">
        <v>68</v>
      </c>
      <c r="G24" s="19"/>
      <c r="H24" s="19">
        <f t="shared" ref="H24:K24" si="19">+H7/D7-1</f>
        <v>3.8715757728072386</v>
      </c>
      <c r="I24" s="19">
        <f t="shared" si="19"/>
        <v>1.781676984504927</v>
      </c>
      <c r="J24" s="19">
        <f t="shared" si="19"/>
        <v>1.8947560220108599</v>
      </c>
      <c r="K24" s="19">
        <f t="shared" si="19"/>
        <v>1.163202866593164</v>
      </c>
      <c r="L24" s="19">
        <f>+L7/H7-1</f>
        <v>0.60362498280368704</v>
      </c>
      <c r="M24" s="19">
        <f>+M7/I7-1</f>
        <v>0.88087493580204645</v>
      </c>
      <c r="N24" s="19">
        <f>+N7/J7-1</f>
        <v>0.50122741864417453</v>
      </c>
    </row>
    <row r="26" spans="2:28" x14ac:dyDescent="0.2">
      <c r="B26" t="s">
        <v>3</v>
      </c>
      <c r="L26" s="15">
        <f>201.253+1048.385+0.431+42.201+4.4</f>
        <v>1296.67</v>
      </c>
      <c r="M26" s="15">
        <f>459.277+753.123+0.583+4.509</f>
        <v>1217.4920000000002</v>
      </c>
    </row>
    <row r="27" spans="2:28" x14ac:dyDescent="0.2">
      <c r="B27" t="s">
        <v>53</v>
      </c>
      <c r="L27" s="15">
        <v>100.628</v>
      </c>
      <c r="M27" s="15">
        <v>112.801</v>
      </c>
    </row>
    <row r="28" spans="2:28" x14ac:dyDescent="0.2">
      <c r="B28" t="s">
        <v>54</v>
      </c>
      <c r="L28" s="15">
        <v>13.064</v>
      </c>
      <c r="M28" s="15">
        <v>0.70499999999999996</v>
      </c>
    </row>
    <row r="29" spans="2:28" x14ac:dyDescent="0.2">
      <c r="B29" t="s">
        <v>55</v>
      </c>
      <c r="L29" s="15">
        <v>18.87</v>
      </c>
      <c r="M29" s="15">
        <v>23.547999999999998</v>
      </c>
    </row>
    <row r="30" spans="2:28" x14ac:dyDescent="0.2">
      <c r="B30" t="s">
        <v>56</v>
      </c>
      <c r="L30" s="15">
        <v>1.5960000000000001</v>
      </c>
      <c r="M30" s="15">
        <v>1.9319999999999999</v>
      </c>
    </row>
    <row r="31" spans="2:28" x14ac:dyDescent="0.2">
      <c r="B31" t="s">
        <v>57</v>
      </c>
      <c r="L31" s="15">
        <v>144.55199999999999</v>
      </c>
      <c r="M31" s="15">
        <v>172.98099999999999</v>
      </c>
    </row>
    <row r="32" spans="2:28" x14ac:dyDescent="0.2">
      <c r="B32" t="s">
        <v>58</v>
      </c>
      <c r="L32" s="15">
        <v>2.7719999999999998</v>
      </c>
      <c r="M32" s="15">
        <v>2.5070000000000001</v>
      </c>
    </row>
    <row r="33" spans="2:13" x14ac:dyDescent="0.2">
      <c r="B33" t="s">
        <v>59</v>
      </c>
      <c r="L33" s="15">
        <v>114.718</v>
      </c>
      <c r="M33" s="15">
        <v>99.451999999999998</v>
      </c>
    </row>
    <row r="34" spans="2:13" x14ac:dyDescent="0.2">
      <c r="B34" t="s">
        <v>60</v>
      </c>
      <c r="L34" s="15">
        <f>105.018+0.295</f>
        <v>105.313</v>
      </c>
      <c r="M34" s="15">
        <f>104.031+0.376</f>
        <v>104.40700000000001</v>
      </c>
    </row>
    <row r="35" spans="2:13" x14ac:dyDescent="0.2">
      <c r="B35" t="s">
        <v>61</v>
      </c>
      <c r="L35" s="15">
        <f>SUM(L26:L34)</f>
        <v>1798.183</v>
      </c>
      <c r="M35" s="15">
        <f>SUM(M26:M34)</f>
        <v>1735.825</v>
      </c>
    </row>
    <row r="37" spans="2:13" x14ac:dyDescent="0.2">
      <c r="B37" t="s">
        <v>62</v>
      </c>
      <c r="L37" s="15">
        <v>39.49</v>
      </c>
      <c r="M37" s="15">
        <v>26.905999999999999</v>
      </c>
    </row>
    <row r="38" spans="2:13" x14ac:dyDescent="0.2">
      <c r="B38" t="s">
        <v>69</v>
      </c>
      <c r="L38" s="15">
        <v>169.53100000000001</v>
      </c>
      <c r="M38" s="15">
        <v>164.864</v>
      </c>
    </row>
    <row r="39" spans="2:13" x14ac:dyDescent="0.2">
      <c r="B39" t="s">
        <v>70</v>
      </c>
      <c r="L39" s="15">
        <f>0.545+6.574</f>
        <v>7.1189999999999998</v>
      </c>
      <c r="M39" s="15">
        <f>0.554+6.548</f>
        <v>7.1020000000000003</v>
      </c>
    </row>
    <row r="40" spans="2:13" x14ac:dyDescent="0.2">
      <c r="B40" t="s">
        <v>71</v>
      </c>
      <c r="L40" s="15">
        <f>3.325+44.042</f>
        <v>47.367000000000004</v>
      </c>
      <c r="M40" s="15">
        <f>4.342+45.626</f>
        <v>49.967999999999996</v>
      </c>
    </row>
    <row r="41" spans="2:13" x14ac:dyDescent="0.2">
      <c r="B41" t="s">
        <v>50</v>
      </c>
      <c r="L41" s="15">
        <v>6.5659999999999998</v>
      </c>
      <c r="M41" s="15">
        <v>11.067</v>
      </c>
    </row>
    <row r="42" spans="2:13" x14ac:dyDescent="0.2">
      <c r="B42" t="s">
        <v>72</v>
      </c>
      <c r="L42" s="15">
        <f>74.845+2.704</f>
        <v>77.548999999999992</v>
      </c>
      <c r="M42" s="15">
        <v>63.161000000000001</v>
      </c>
    </row>
    <row r="43" spans="2:13" x14ac:dyDescent="0.2">
      <c r="B43" t="s">
        <v>73</v>
      </c>
      <c r="L43" s="15">
        <v>291.55900000000003</v>
      </c>
      <c r="M43" s="15">
        <v>296.62299999999999</v>
      </c>
    </row>
    <row r="44" spans="2:13" x14ac:dyDescent="0.2">
      <c r="B44" t="s">
        <v>74</v>
      </c>
      <c r="L44" s="15">
        <v>1159.002</v>
      </c>
      <c r="M44" s="15">
        <v>1116.107</v>
      </c>
    </row>
    <row r="45" spans="2:13" x14ac:dyDescent="0.2">
      <c r="B45" t="s">
        <v>75</v>
      </c>
      <c r="L45" s="15">
        <f>SUM(L37:L44)</f>
        <v>1798.183</v>
      </c>
      <c r="M45" s="15">
        <f>SUM(M37:M44)</f>
        <v>1735.798</v>
      </c>
    </row>
  </sheetData>
  <hyperlinks>
    <hyperlink ref="A1" location="Main!A1" display="Main" xr:uid="{26925067-ABFF-45D6-804B-C4695C6C1E1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A1D5-92E5-4447-96FA-7B9AF434BFB3}">
  <dimension ref="A1:C28"/>
  <sheetViews>
    <sheetView zoomScaleNormal="100" workbookViewId="0">
      <selection activeCell="M25" sqref="M25"/>
    </sheetView>
  </sheetViews>
  <sheetFormatPr defaultRowHeight="12.75" x14ac:dyDescent="0.2"/>
  <cols>
    <col min="1" max="1" width="5" bestFit="1" customWidth="1"/>
    <col min="2" max="2" width="13" customWidth="1"/>
  </cols>
  <sheetData>
    <row r="1" spans="1:3" x14ac:dyDescent="0.2">
      <c r="A1" s="12" t="s">
        <v>10</v>
      </c>
    </row>
    <row r="2" spans="1:3" x14ac:dyDescent="0.2">
      <c r="B2" t="s">
        <v>15</v>
      </c>
      <c r="C2" t="s">
        <v>14</v>
      </c>
    </row>
    <row r="3" spans="1:3" x14ac:dyDescent="0.2">
      <c r="B3" t="s">
        <v>16</v>
      </c>
    </row>
    <row r="4" spans="1:3" x14ac:dyDescent="0.2">
      <c r="B4" t="s">
        <v>8</v>
      </c>
      <c r="C4" t="s">
        <v>17</v>
      </c>
    </row>
    <row r="5" spans="1:3" x14ac:dyDescent="0.2">
      <c r="C5" t="s">
        <v>96</v>
      </c>
    </row>
    <row r="6" spans="1:3" x14ac:dyDescent="0.2">
      <c r="B6" t="s">
        <v>25</v>
      </c>
      <c r="C6" t="s">
        <v>78</v>
      </c>
    </row>
    <row r="7" spans="1:3" x14ac:dyDescent="0.2">
      <c r="B7" t="s">
        <v>12</v>
      </c>
      <c r="C7" t="s">
        <v>13</v>
      </c>
    </row>
    <row r="8" spans="1:3" x14ac:dyDescent="0.2">
      <c r="B8" t="s">
        <v>19</v>
      </c>
      <c r="C8" t="s">
        <v>20</v>
      </c>
    </row>
    <row r="9" spans="1:3" x14ac:dyDescent="0.2">
      <c r="B9" t="s">
        <v>26</v>
      </c>
      <c r="C9" t="s">
        <v>27</v>
      </c>
    </row>
    <row r="10" spans="1:3" x14ac:dyDescent="0.2">
      <c r="B10" t="s">
        <v>21</v>
      </c>
      <c r="C10" t="s">
        <v>104</v>
      </c>
    </row>
    <row r="11" spans="1:3" x14ac:dyDescent="0.2">
      <c r="B11" t="s">
        <v>76</v>
      </c>
      <c r="C11" t="s">
        <v>77</v>
      </c>
    </row>
    <row r="13" spans="1:3" x14ac:dyDescent="0.2">
      <c r="B13" s="14" t="s">
        <v>18</v>
      </c>
    </row>
    <row r="15" spans="1:3" x14ac:dyDescent="0.2">
      <c r="B15" t="s">
        <v>97</v>
      </c>
    </row>
    <row r="16" spans="1:3" x14ac:dyDescent="0.2">
      <c r="B16" t="s">
        <v>98</v>
      </c>
    </row>
    <row r="17" spans="2:2" x14ac:dyDescent="0.2">
      <c r="B17" t="s">
        <v>103</v>
      </c>
    </row>
    <row r="19" spans="2:2" x14ac:dyDescent="0.2">
      <c r="B19" s="22" t="s">
        <v>99</v>
      </c>
    </row>
    <row r="20" spans="2:2" x14ac:dyDescent="0.2">
      <c r="B20" t="s">
        <v>28</v>
      </c>
    </row>
    <row r="21" spans="2:2" x14ac:dyDescent="0.2">
      <c r="B21" t="s">
        <v>29</v>
      </c>
    </row>
    <row r="22" spans="2:2" x14ac:dyDescent="0.2">
      <c r="B22" t="s">
        <v>79</v>
      </c>
    </row>
    <row r="24" spans="2:2" x14ac:dyDescent="0.2">
      <c r="B24" s="22" t="s">
        <v>100</v>
      </c>
    </row>
    <row r="26" spans="2:2" x14ac:dyDescent="0.2">
      <c r="B26" s="22" t="s">
        <v>101</v>
      </c>
    </row>
    <row r="28" spans="2:2" x14ac:dyDescent="0.2">
      <c r="B28" s="22" t="s">
        <v>102</v>
      </c>
    </row>
  </sheetData>
  <hyperlinks>
    <hyperlink ref="A1" location="Main!A1" display="Main" xr:uid="{8FE5F2EB-049F-49CD-8086-DC491C9513F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Carvykti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2024-09-08T01:22:29Z</dcterms:created>
  <dcterms:modified xsi:type="dcterms:W3CDTF">2025-10-14T12:51:44Z</dcterms:modified>
</cp:coreProperties>
</file>