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EB668558-63DD-4F1A-B31A-35D38449B3A9}" xr6:coauthVersionLast="47" xr6:coauthVersionMax="47" xr10:uidLastSave="{00000000-0000-0000-0000-000000000000}"/>
  <bookViews>
    <workbookView xWindow="5460" yWindow="1470" windowWidth="18075" windowHeight="16020" activeTab="1" xr2:uid="{1EA6BABA-CDF6-44B8-A6CB-6813F062885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K3" i="2"/>
  <c r="J3" i="2"/>
  <c r="I3" i="2"/>
  <c r="H3" i="2"/>
  <c r="G3" i="2"/>
  <c r="F3" i="2"/>
  <c r="E3" i="2"/>
  <c r="E19" i="2"/>
  <c r="E17" i="2"/>
  <c r="I6" i="2"/>
  <c r="E6" i="2"/>
  <c r="E11" i="2" s="1"/>
  <c r="E13" i="2" s="1"/>
  <c r="E26" i="2" s="1"/>
  <c r="F19" i="2"/>
  <c r="J19" i="2"/>
  <c r="J17" i="2"/>
  <c r="I17" i="2"/>
  <c r="H17" i="2"/>
  <c r="G17" i="2"/>
  <c r="F17" i="2"/>
  <c r="F6" i="2"/>
  <c r="F11" i="2" s="1"/>
  <c r="F13" i="2" s="1"/>
  <c r="F26" i="2" s="1"/>
  <c r="J6" i="2"/>
  <c r="K19" i="2"/>
  <c r="G19" i="2"/>
  <c r="K17" i="2"/>
  <c r="G6" i="2"/>
  <c r="G11" i="2" s="1"/>
  <c r="G13" i="2" s="1"/>
  <c r="G26" i="2" s="1"/>
  <c r="K6" i="2"/>
  <c r="K11" i="2" s="1"/>
  <c r="K13" i="2" s="1"/>
  <c r="K26" i="2" s="1"/>
  <c r="H6" i="2"/>
  <c r="L28" i="2" s="1"/>
  <c r="L11" i="2"/>
  <c r="L13" i="2" s="1"/>
  <c r="H11" i="2"/>
  <c r="H13" i="2" s="1"/>
  <c r="H26" i="2" s="1"/>
  <c r="L19" i="2"/>
  <c r="H19" i="2"/>
  <c r="L17" i="2"/>
  <c r="K7" i="1"/>
  <c r="K5" i="1"/>
  <c r="K4" i="1"/>
  <c r="I28" i="2" l="1"/>
  <c r="J28" i="2"/>
  <c r="H18" i="2"/>
  <c r="G18" i="2"/>
  <c r="I11" i="2"/>
  <c r="I13" i="2" s="1"/>
  <c r="I26" i="2" s="1"/>
  <c r="J11" i="2"/>
  <c r="J13" i="2" s="1"/>
  <c r="J26" i="2" s="1"/>
  <c r="K28" i="2"/>
  <c r="I18" i="2"/>
  <c r="I20" i="2" s="1"/>
  <c r="I22" i="2" s="1"/>
  <c r="I23" i="2" s="1"/>
  <c r="E18" i="2"/>
  <c r="E20" i="2" s="1"/>
  <c r="E22" i="2" s="1"/>
  <c r="E23" i="2" s="1"/>
  <c r="F18" i="2"/>
  <c r="F20" i="2" s="1"/>
  <c r="F22" i="2" s="1"/>
  <c r="F23" i="2" s="1"/>
  <c r="G20" i="2"/>
  <c r="G22" i="2" s="1"/>
  <c r="G23" i="2" s="1"/>
  <c r="K18" i="2"/>
  <c r="K20" i="2" s="1"/>
  <c r="K22" i="2" s="1"/>
  <c r="K23" i="2" s="1"/>
  <c r="L18" i="2"/>
  <c r="L20" i="2" s="1"/>
  <c r="L22" i="2" s="1"/>
  <c r="L23" i="2" s="1"/>
  <c r="L26" i="2"/>
  <c r="H20" i="2"/>
  <c r="H22" i="2" s="1"/>
  <c r="H23" i="2" s="1"/>
  <c r="J18" i="2" l="1"/>
  <c r="J20" i="2" s="1"/>
  <c r="J22" i="2" s="1"/>
  <c r="J23" i="2" s="1"/>
</calcChain>
</file>

<file path=xl/sharedStrings.xml><?xml version="1.0" encoding="utf-8"?>
<sst xmlns="http://schemas.openxmlformats.org/spreadsheetml/2006/main" count="44" uniqueCount="39">
  <si>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</si>
  <si>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</si>
  <si>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</si>
  <si>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</si>
  <si>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</si>
  <si>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</si>
  <si>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</si>
  <si>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</si>
  <si>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</si>
  <si>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</si>
  <si>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</si>
  <si>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</si>
  <si>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</si>
  <si>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</si>
  <si>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</si>
  <si>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</si>
  <si>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</si>
  <si>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</si>
  <si>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</si>
  <si>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</si>
  <si>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EPS</t>
  </si>
  <si>
    <t>Net Income</t>
  </si>
  <si>
    <t>Taxes</t>
  </si>
  <si>
    <t>Pretax Income</t>
  </si>
  <si>
    <t>Interest Income</t>
  </si>
  <si>
    <t>Operating Income</t>
  </si>
  <si>
    <t>Operating Expenses</t>
  </si>
  <si>
    <t>R&amp;D</t>
  </si>
  <si>
    <t>G&amp;A</t>
  </si>
  <si>
    <t>S&amp;M</t>
  </si>
  <si>
    <t>Gross Profit</t>
  </si>
  <si>
    <t>COGS</t>
  </si>
  <si>
    <t>Pylarify</t>
  </si>
  <si>
    <t>Definity</t>
  </si>
  <si>
    <t>Gross Margin</t>
  </si>
  <si>
    <t>TechneLite</t>
  </si>
  <si>
    <t>Other Diagnostics</t>
  </si>
  <si>
    <t>Other Revenue</t>
  </si>
  <si>
    <t>Pylarify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</si>
</sst>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44173</xdr:colOff>
      <xdr:row>0</xdr:row>
      <xdr:rowOff>38652</xdr:rowOff>
    </xdr:from>
    <xdr:to>
      <xdr:col>12</xdr:col>
      <xdr:colOff>44173</xdr:colOff>
      <xdr:row>46</xdr:row>
      <xdr:rowOff>66261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45CC808-02B2-0B41-BE3C-CD5066C01E75}"/>
            </a:ext>
          </a:extLst>
        </xdr:cNvPr>
        <xdr:cNvCxnSpPr/>
      </xdr:nvCxnSpPr>
      <xdr:spPr>
        <a:xfrm>
          <a:off x="7653130" y="38652"/>
          <a:ext cx="0" cy="691873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866AE-E717-4EBF-8C69-560B9CB43D60}">
  <dimension ref="J2:L7"/>
  <sheetViews>
    <sheetView zoomScaleNormal="100" workbookViewId="0">
      <selection activeCell="L7" sqref="L7"/>
    </sheetView>
  </sheetViews>
  <sheetFormatPr defaultColWidth="8.7109375" defaultRowHeight="12.75" x14ac:dyDescent="0.2"/>
  <cols>
    <col min="1" max="16384" width="8.7109375" style="1"/>
  </cols>
  <sheetData>
    <row r="2" spans="10:12" x14ac:dyDescent="0.2">
      <c r="J2" s="1" t="s">
        <v>0</v>
      </c>
      <c r="K2" s="2">
        <v>116.81</v>
      </c>
    </row>
    <row r="3" spans="10:12" x14ac:dyDescent="0.2">
      <c r="J3" s="1" t="s">
        <v>1</v>
      </c>
      <c r="K3" s="3">
        <v>69.430642000000006</v>
      </c>
      <c r="L3" s="4" t="s">
        <v>6</v>
      </c>
    </row>
    <row r="4" spans="10:12" x14ac:dyDescent="0.2">
      <c r="J4" s="1" t="s">
        <v>2</v>
      </c>
      <c r="K4" s="3">
        <f>+K2*K3</f>
        <v>8110.1932920200006</v>
      </c>
    </row>
    <row r="5" spans="10:12" x14ac:dyDescent="0.2">
      <c r="J5" s="1" t="s">
        <v>3</v>
      </c>
      <c r="K5" s="3">
        <f>757.018+116.423</f>
        <v>873.44100000000003</v>
      </c>
      <c r="L5" s="4" t="s">
        <v>6</v>
      </c>
    </row>
    <row r="6" spans="10:12" x14ac:dyDescent="0.2">
      <c r="J6" s="1" t="s">
        <v>4</v>
      </c>
      <c r="K6" s="3">
        <v>563.18799999999999</v>
      </c>
      <c r="L6" s="4" t="s">
        <v>6</v>
      </c>
    </row>
    <row r="7" spans="10:12" x14ac:dyDescent="0.2">
      <c r="J7" s="1" t="s">
        <v>5</v>
      </c>
      <c r="K7" s="3">
        <f>+K4-K5+K6</f>
        <v>7799.9402920200009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55BBA-E4C6-46BA-8D4B-ECFBFB11D72B}">
  <dimension ref="A1:N28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26" sqref="L26"/>
    </sheetView>
  </sheetViews>
  <sheetFormatPr defaultColWidth="8.7109375" defaultRowHeight="12.75" x14ac:dyDescent="0.2"/>
  <cols>
    <col min="1" max="1" width="4.5703125" style="1" bestFit="1" customWidth="1"/>
    <col min="2" max="2" width="17.28515625" style="1" bestFit="1" customWidth="1"/>
    <col min="3" max="14" width="8.7109375" style="4"/>
    <col min="15" max="16384" width="8.7109375" style="1"/>
  </cols>
  <sheetData>
    <row r="1" spans="1:14" x14ac:dyDescent="0.2">
      <c r="A1" s="1" t="s">
        <v>7</v>
      </c>
    </row>
    <row r="2" spans="1:14" x14ac:dyDescent="0.2"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4" t="s">
        <v>15</v>
      </c>
      <c r="J2" s="4" t="s">
        <v>16</v>
      </c>
      <c r="K2" s="4" t="s">
        <v>17</v>
      </c>
      <c r="L2" s="4" t="s">
        <v>6</v>
      </c>
      <c r="M2" s="4" t="s">
        <v>18</v>
      </c>
      <c r="N2" s="4" t="s">
        <v>19</v>
      </c>
    </row>
    <row r="3" spans="1:14" x14ac:dyDescent="0.2">
      <c r="B3" s="1" t="s">
        <v>38</v>
      </c>
      <c r="E3" s="6">
        <f>+E6/5</f>
        <v>28.936399999999999</v>
      </c>
      <c r="F3" s="6">
        <f t="shared" ref="F3:L3" si="0">+F6/5</f>
        <v>32.312200000000004</v>
      </c>
      <c r="G3" s="6">
        <f t="shared" si="0"/>
        <v>39.237400000000001</v>
      </c>
      <c r="H3" s="6">
        <f t="shared" si="0"/>
        <v>42.268000000000001</v>
      </c>
      <c r="I3" s="6">
        <f t="shared" si="0"/>
        <v>43.255200000000002</v>
      </c>
      <c r="J3" s="6">
        <f t="shared" si="0"/>
        <v>46.126199999999997</v>
      </c>
      <c r="K3" s="6">
        <f t="shared" si="0"/>
        <v>51.850800000000007</v>
      </c>
      <c r="L3" s="6">
        <f t="shared" si="0"/>
        <v>54.650999999999996</v>
      </c>
    </row>
    <row r="6" spans="1:14" s="3" customFormat="1" x14ac:dyDescent="0.2">
      <c r="B6" s="3" t="s">
        <v>32</v>
      </c>
      <c r="C6" s="6"/>
      <c r="D6" s="6"/>
      <c r="E6" s="6">
        <f>143.754+0.928</f>
        <v>144.68199999999999</v>
      </c>
      <c r="F6" s="6">
        <f>160.642+0.919</f>
        <v>161.56100000000001</v>
      </c>
      <c r="G6" s="6">
        <f>195.47+0.717</f>
        <v>196.18700000000001</v>
      </c>
      <c r="H6" s="6">
        <f>210.522+0.818</f>
        <v>211.34</v>
      </c>
      <c r="I6" s="6">
        <f>215.428+0.848</f>
        <v>216.27600000000001</v>
      </c>
      <c r="J6" s="6">
        <f>229.884+0.747</f>
        <v>230.631</v>
      </c>
      <c r="K6" s="6">
        <f>258.87+0.384</f>
        <v>259.25400000000002</v>
      </c>
      <c r="L6" s="6">
        <v>273.255</v>
      </c>
      <c r="M6" s="6"/>
      <c r="N6" s="6"/>
    </row>
    <row r="7" spans="1:14" s="3" customFormat="1" x14ac:dyDescent="0.2">
      <c r="B7" s="3" t="s">
        <v>33</v>
      </c>
      <c r="C7" s="6"/>
      <c r="D7" s="6"/>
      <c r="E7" s="6">
        <v>60.74</v>
      </c>
      <c r="F7" s="6">
        <v>63.619</v>
      </c>
      <c r="G7" s="6">
        <v>68.823999999999998</v>
      </c>
      <c r="H7" s="6">
        <v>70.528999999999996</v>
      </c>
      <c r="I7" s="6">
        <v>67.335999999999999</v>
      </c>
      <c r="J7" s="6">
        <v>73.08</v>
      </c>
      <c r="K7" s="6">
        <v>76.563999999999993</v>
      </c>
      <c r="L7" s="6">
        <v>78.099999999999994</v>
      </c>
      <c r="M7" s="6"/>
      <c r="N7" s="6"/>
    </row>
    <row r="8" spans="1:14" s="3" customFormat="1" x14ac:dyDescent="0.2">
      <c r="B8" s="3" t="s">
        <v>35</v>
      </c>
      <c r="C8" s="6"/>
      <c r="D8" s="6"/>
      <c r="E8" s="6">
        <v>22.094000000000001</v>
      </c>
      <c r="F8" s="6">
        <v>24.725000000000001</v>
      </c>
      <c r="G8" s="6">
        <v>20.986000000000001</v>
      </c>
      <c r="H8" s="6">
        <v>21.594000000000001</v>
      </c>
      <c r="I8" s="6">
        <v>23.271999999999998</v>
      </c>
      <c r="J8" s="6">
        <v>21.516999999999999</v>
      </c>
      <c r="K8" s="6">
        <v>21.713999999999999</v>
      </c>
      <c r="L8" s="6">
        <v>28.186</v>
      </c>
      <c r="M8" s="6"/>
      <c r="N8" s="6"/>
    </row>
    <row r="9" spans="1:14" s="3" customFormat="1" x14ac:dyDescent="0.2">
      <c r="B9" s="3" t="s">
        <v>36</v>
      </c>
      <c r="C9" s="6"/>
      <c r="D9" s="6"/>
      <c r="E9" s="6">
        <v>6.1749999999999998</v>
      </c>
      <c r="F9" s="6">
        <v>6.0220000000000002</v>
      </c>
      <c r="G9" s="6">
        <v>5.8070000000000004</v>
      </c>
      <c r="H9" s="6">
        <v>5.4539999999999997</v>
      </c>
      <c r="I9" s="6">
        <v>5.74</v>
      </c>
      <c r="J9" s="6">
        <v>5.9779999999999998</v>
      </c>
      <c r="K9" s="6">
        <v>5.9320000000000004</v>
      </c>
      <c r="L9" s="6">
        <v>5.8250000000000002</v>
      </c>
      <c r="M9" s="6"/>
      <c r="N9" s="6"/>
    </row>
    <row r="10" spans="1:14" s="3" customFormat="1" x14ac:dyDescent="0.2">
      <c r="B10" s="3" t="s">
        <v>37</v>
      </c>
      <c r="C10" s="6"/>
      <c r="D10" s="6"/>
      <c r="E10" s="6">
        <v>5.601</v>
      </c>
      <c r="F10" s="6">
        <v>7.2389999999999999</v>
      </c>
      <c r="G10" s="6">
        <v>8.98</v>
      </c>
      <c r="H10" s="6">
        <v>12.782999999999999</v>
      </c>
      <c r="I10" s="6">
        <v>7.3220000000000001</v>
      </c>
      <c r="J10" s="6">
        <v>22.792999999999999</v>
      </c>
      <c r="K10" s="6">
        <v>6.5110000000000001</v>
      </c>
      <c r="L10" s="6">
        <v>8.7249999999999996</v>
      </c>
      <c r="M10" s="6"/>
      <c r="N10" s="6"/>
    </row>
    <row r="11" spans="1:14" s="7" customFormat="1" x14ac:dyDescent="0.2">
      <c r="B11" s="7" t="s">
        <v>8</v>
      </c>
      <c r="C11" s="8"/>
      <c r="D11" s="8"/>
      <c r="E11" s="8">
        <f t="shared" ref="E11:L11" si="1">SUM(E6:E10)</f>
        <v>239.292</v>
      </c>
      <c r="F11" s="8">
        <f t="shared" si="1"/>
        <v>263.166</v>
      </c>
      <c r="G11" s="8">
        <f t="shared" si="1"/>
        <v>300.78400000000005</v>
      </c>
      <c r="H11" s="8">
        <f t="shared" si="1"/>
        <v>321.70000000000005</v>
      </c>
      <c r="I11" s="8">
        <f t="shared" si="1"/>
        <v>319.94600000000003</v>
      </c>
      <c r="J11" s="8">
        <f t="shared" si="1"/>
        <v>353.99900000000002</v>
      </c>
      <c r="K11" s="8">
        <f t="shared" si="1"/>
        <v>369.97500000000002</v>
      </c>
      <c r="L11" s="8">
        <f t="shared" si="1"/>
        <v>394.09100000000001</v>
      </c>
      <c r="M11" s="8"/>
      <c r="N11" s="8"/>
    </row>
    <row r="12" spans="1:14" s="3" customFormat="1" x14ac:dyDescent="0.2">
      <c r="B12" s="3" t="s">
        <v>31</v>
      </c>
      <c r="C12" s="6"/>
      <c r="D12" s="6"/>
      <c r="E12" s="6">
        <v>91.858999999999995</v>
      </c>
      <c r="F12" s="6">
        <v>95.995000000000005</v>
      </c>
      <c r="G12" s="6">
        <v>223.708</v>
      </c>
      <c r="H12" s="6">
        <v>119.053</v>
      </c>
      <c r="I12" s="6">
        <v>119.995</v>
      </c>
      <c r="J12" s="6">
        <v>124.13</v>
      </c>
      <c r="K12" s="6">
        <v>128.12899999999999</v>
      </c>
      <c r="L12" s="6">
        <v>138.31700000000001</v>
      </c>
      <c r="M12" s="6"/>
      <c r="N12" s="6"/>
    </row>
    <row r="13" spans="1:14" s="3" customFormat="1" x14ac:dyDescent="0.2">
      <c r="B13" s="3" t="s">
        <v>30</v>
      </c>
      <c r="C13" s="6"/>
      <c r="D13" s="6"/>
      <c r="E13" s="6">
        <f t="shared" ref="E13:L13" si="2">+E11-E12</f>
        <v>147.43299999999999</v>
      </c>
      <c r="F13" s="6">
        <f t="shared" si="2"/>
        <v>167.17099999999999</v>
      </c>
      <c r="G13" s="6">
        <f t="shared" si="2"/>
        <v>77.07600000000005</v>
      </c>
      <c r="H13" s="6">
        <f t="shared" si="2"/>
        <v>202.64700000000005</v>
      </c>
      <c r="I13" s="6">
        <f t="shared" si="2"/>
        <v>199.95100000000002</v>
      </c>
      <c r="J13" s="6">
        <f t="shared" si="2"/>
        <v>229.86900000000003</v>
      </c>
      <c r="K13" s="6">
        <f t="shared" si="2"/>
        <v>241.84600000000003</v>
      </c>
      <c r="L13" s="6">
        <f t="shared" si="2"/>
        <v>255.774</v>
      </c>
      <c r="M13" s="6"/>
      <c r="N13" s="6"/>
    </row>
    <row r="14" spans="1:14" s="3" customFormat="1" x14ac:dyDescent="0.2">
      <c r="B14" s="3" t="s">
        <v>29</v>
      </c>
      <c r="C14" s="6"/>
      <c r="D14" s="6"/>
      <c r="E14" s="6">
        <v>25.414000000000001</v>
      </c>
      <c r="F14" s="6">
        <v>26.983000000000001</v>
      </c>
      <c r="G14" s="6">
        <v>32.616999999999997</v>
      </c>
      <c r="H14" s="6">
        <v>36.456000000000003</v>
      </c>
      <c r="I14" s="6">
        <v>37.399000000000001</v>
      </c>
      <c r="J14" s="6">
        <v>35.264000000000003</v>
      </c>
      <c r="K14" s="6">
        <v>45.545999999999999</v>
      </c>
      <c r="L14" s="6">
        <v>45.034999999999997</v>
      </c>
      <c r="M14" s="6"/>
      <c r="N14" s="6"/>
    </row>
    <row r="15" spans="1:14" s="3" customFormat="1" x14ac:dyDescent="0.2">
      <c r="B15" s="3" t="s">
        <v>28</v>
      </c>
      <c r="C15" s="6"/>
      <c r="D15" s="6"/>
      <c r="E15" s="6">
        <v>23.759</v>
      </c>
      <c r="F15" s="6">
        <v>39.639000000000003</v>
      </c>
      <c r="G15" s="6">
        <v>23.271000000000001</v>
      </c>
      <c r="H15" s="6">
        <v>26.151</v>
      </c>
      <c r="I15" s="6">
        <v>35.741</v>
      </c>
      <c r="J15" s="6">
        <v>40.295000000000002</v>
      </c>
      <c r="K15" s="6">
        <v>47.895000000000003</v>
      </c>
      <c r="L15" s="6">
        <v>47.408999999999999</v>
      </c>
      <c r="M15" s="6"/>
      <c r="N15" s="6"/>
    </row>
    <row r="16" spans="1:14" s="3" customFormat="1" x14ac:dyDescent="0.2">
      <c r="B16" s="3" t="s">
        <v>27</v>
      </c>
      <c r="C16" s="6"/>
      <c r="D16" s="6"/>
      <c r="E16" s="6">
        <v>12.516999999999999</v>
      </c>
      <c r="F16" s="6">
        <v>0</v>
      </c>
      <c r="G16" s="6">
        <v>30.532</v>
      </c>
      <c r="H16" s="6">
        <v>15.901</v>
      </c>
      <c r="I16" s="6">
        <v>14.45</v>
      </c>
      <c r="J16" s="6">
        <v>16.824000000000002</v>
      </c>
      <c r="K16" s="6">
        <v>48.024000000000001</v>
      </c>
      <c r="L16" s="6">
        <v>60.600999999999999</v>
      </c>
      <c r="M16" s="6"/>
      <c r="N16" s="6"/>
    </row>
    <row r="17" spans="2:14" s="3" customFormat="1" x14ac:dyDescent="0.2">
      <c r="B17" s="3" t="s">
        <v>26</v>
      </c>
      <c r="C17" s="6"/>
      <c r="D17" s="6"/>
      <c r="E17" s="6">
        <f t="shared" ref="E17:J17" si="3">SUM(E14:E16)</f>
        <v>61.69</v>
      </c>
      <c r="F17" s="6">
        <f t="shared" si="3"/>
        <v>66.622</v>
      </c>
      <c r="G17" s="6">
        <f t="shared" si="3"/>
        <v>86.42</v>
      </c>
      <c r="H17" s="6">
        <f t="shared" si="3"/>
        <v>78.507999999999996</v>
      </c>
      <c r="I17" s="6">
        <f t="shared" si="3"/>
        <v>87.59</v>
      </c>
      <c r="J17" s="6">
        <f t="shared" si="3"/>
        <v>92.382999999999996</v>
      </c>
      <c r="K17" s="6">
        <f>SUM(K14:K16)</f>
        <v>141.465</v>
      </c>
      <c r="L17" s="6">
        <f>SUM(L14:L16)</f>
        <v>153.04499999999999</v>
      </c>
      <c r="M17" s="6"/>
      <c r="N17" s="6"/>
    </row>
    <row r="18" spans="2:14" s="3" customFormat="1" x14ac:dyDescent="0.2">
      <c r="B18" s="3" t="s">
        <v>25</v>
      </c>
      <c r="C18" s="6"/>
      <c r="D18" s="6"/>
      <c r="E18" s="6">
        <f t="shared" ref="E18:J18" si="4">E13-E17</f>
        <v>85.742999999999995</v>
      </c>
      <c r="F18" s="6">
        <f t="shared" si="4"/>
        <v>100.54899999999999</v>
      </c>
      <c r="G18" s="6">
        <f t="shared" si="4"/>
        <v>-9.3439999999999515</v>
      </c>
      <c r="H18" s="6">
        <f t="shared" si="4"/>
        <v>124.13900000000005</v>
      </c>
      <c r="I18" s="6">
        <f t="shared" si="4"/>
        <v>112.36100000000002</v>
      </c>
      <c r="J18" s="6">
        <f t="shared" si="4"/>
        <v>137.48600000000005</v>
      </c>
      <c r="K18" s="6">
        <f>K13-K17</f>
        <v>100.38100000000003</v>
      </c>
      <c r="L18" s="6">
        <f>L13-L17</f>
        <v>102.72900000000001</v>
      </c>
      <c r="M18" s="6"/>
      <c r="N18" s="6"/>
    </row>
    <row r="19" spans="2:14" s="3" customFormat="1" x14ac:dyDescent="0.2">
      <c r="B19" s="3" t="s">
        <v>24</v>
      </c>
      <c r="C19" s="6"/>
      <c r="D19" s="6"/>
      <c r="E19" s="6">
        <f>-1.626-1.101</f>
        <v>-2.7269999999999999</v>
      </c>
      <c r="F19" s="6">
        <f>-2.581-1.397</f>
        <v>-3.9779999999999998</v>
      </c>
      <c r="G19" s="6">
        <f>-4.991+3.231</f>
        <v>-1.7599999999999998</v>
      </c>
      <c r="H19" s="6">
        <f>-4.933+4.482</f>
        <v>-0.45099999999999962</v>
      </c>
      <c r="I19" s="6">
        <v>-5.0540000000000003</v>
      </c>
      <c r="J19" s="6">
        <f>-5.041+5.958</f>
        <v>0.91699999999999982</v>
      </c>
      <c r="K19" s="6">
        <f>-4.859+8.788</f>
        <v>3.9290000000000003</v>
      </c>
      <c r="L19" s="6">
        <f>-4.862+9.044</f>
        <v>4.1820000000000004</v>
      </c>
      <c r="M19" s="6"/>
      <c r="N19" s="6"/>
    </row>
    <row r="20" spans="2:14" s="3" customFormat="1" x14ac:dyDescent="0.2">
      <c r="B20" s="3" t="s">
        <v>23</v>
      </c>
      <c r="C20" s="6"/>
      <c r="D20" s="6"/>
      <c r="E20" s="6">
        <f t="shared" ref="E20:L20" si="5">+E18+E19</f>
        <v>83.015999999999991</v>
      </c>
      <c r="F20" s="6">
        <f t="shared" si="5"/>
        <v>96.570999999999998</v>
      </c>
      <c r="G20" s="6">
        <f t="shared" si="5"/>
        <v>-11.103999999999951</v>
      </c>
      <c r="H20" s="6">
        <f t="shared" si="5"/>
        <v>123.68800000000006</v>
      </c>
      <c r="I20" s="6">
        <f t="shared" si="5"/>
        <v>107.30700000000002</v>
      </c>
      <c r="J20" s="6">
        <f t="shared" si="5"/>
        <v>138.40300000000005</v>
      </c>
      <c r="K20" s="6">
        <f t="shared" si="5"/>
        <v>104.31000000000003</v>
      </c>
      <c r="L20" s="6">
        <f t="shared" si="5"/>
        <v>106.91100000000002</v>
      </c>
      <c r="M20" s="6"/>
      <c r="N20" s="6"/>
    </row>
    <row r="21" spans="2:14" s="3" customFormat="1" x14ac:dyDescent="0.2">
      <c r="B21" s="3" t="s">
        <v>22</v>
      </c>
      <c r="C21" s="6"/>
      <c r="D21" s="6"/>
      <c r="E21" s="6">
        <v>21.783999999999999</v>
      </c>
      <c r="F21" s="6">
        <v>0</v>
      </c>
      <c r="G21" s="6">
        <v>0</v>
      </c>
      <c r="H21" s="6">
        <v>29.556999999999999</v>
      </c>
      <c r="I21" s="6">
        <v>27.998999999999999</v>
      </c>
      <c r="J21" s="6">
        <v>35.023000000000003</v>
      </c>
      <c r="K21" s="6">
        <v>40.201999999999998</v>
      </c>
      <c r="L21" s="6">
        <v>22.300999999999998</v>
      </c>
      <c r="M21" s="6"/>
      <c r="N21" s="6"/>
    </row>
    <row r="22" spans="2:14" s="3" customFormat="1" x14ac:dyDescent="0.2">
      <c r="B22" s="3" t="s">
        <v>21</v>
      </c>
      <c r="C22" s="6"/>
      <c r="D22" s="6"/>
      <c r="E22" s="6">
        <f t="shared" ref="E22:L22" si="6">+E20-E21</f>
        <v>61.231999999999992</v>
      </c>
      <c r="F22" s="6">
        <f t="shared" si="6"/>
        <v>96.570999999999998</v>
      </c>
      <c r="G22" s="6">
        <f t="shared" si="6"/>
        <v>-11.103999999999951</v>
      </c>
      <c r="H22" s="6">
        <f t="shared" si="6"/>
        <v>94.131000000000057</v>
      </c>
      <c r="I22" s="6">
        <f t="shared" si="6"/>
        <v>79.308000000000021</v>
      </c>
      <c r="J22" s="6">
        <f t="shared" si="6"/>
        <v>103.38000000000005</v>
      </c>
      <c r="K22" s="6">
        <f t="shared" si="6"/>
        <v>64.108000000000033</v>
      </c>
      <c r="L22" s="6">
        <f t="shared" si="6"/>
        <v>84.610000000000014</v>
      </c>
      <c r="M22" s="6"/>
      <c r="N22" s="6"/>
    </row>
    <row r="23" spans="2:14" x14ac:dyDescent="0.2">
      <c r="B23" s="1" t="s">
        <v>20</v>
      </c>
      <c r="E23" s="5">
        <f t="shared" ref="E23:L23" si="7">+E22/E24</f>
        <v>0.86151248680970793</v>
      </c>
      <c r="F23" s="5">
        <f t="shared" si="7"/>
        <v>1.4097956204379563</v>
      </c>
      <c r="G23" s="5">
        <f t="shared" si="7"/>
        <v>-0.16389909814166928</v>
      </c>
      <c r="H23" s="5">
        <f t="shared" si="7"/>
        <v>1.3255273608020963</v>
      </c>
      <c r="I23" s="5">
        <f t="shared" si="7"/>
        <v>1.1322273934271767</v>
      </c>
      <c r="J23" s="5">
        <f t="shared" si="7"/>
        <v>1.4749186783085095</v>
      </c>
      <c r="K23" s="5">
        <f t="shared" si="7"/>
        <v>0.91458734574506073</v>
      </c>
      <c r="L23" s="5">
        <f t="shared" si="7"/>
        <v>1.1984249514879395</v>
      </c>
    </row>
    <row r="24" spans="2:14" x14ac:dyDescent="0.2">
      <c r="B24" s="1" t="s">
        <v>1</v>
      </c>
      <c r="E24" s="6">
        <v>71.075000000000003</v>
      </c>
      <c r="F24" s="6">
        <v>68.5</v>
      </c>
      <c r="G24" s="6">
        <v>67.748999999999995</v>
      </c>
      <c r="H24" s="6">
        <v>71.013999999999996</v>
      </c>
      <c r="I24" s="6">
        <v>70.046000000000006</v>
      </c>
      <c r="J24" s="6">
        <v>70.091999999999999</v>
      </c>
      <c r="K24" s="6">
        <v>70.094999999999999</v>
      </c>
      <c r="L24" s="6">
        <v>70.600999999999999</v>
      </c>
    </row>
    <row r="26" spans="2:14" x14ac:dyDescent="0.2">
      <c r="B26" s="1" t="s">
        <v>34</v>
      </c>
      <c r="E26" s="9">
        <f t="shared" ref="E26:L26" si="8">+E13/E11</f>
        <v>0.61612172575765167</v>
      </c>
      <c r="F26" s="9">
        <f t="shared" si="8"/>
        <v>0.63523023490876473</v>
      </c>
      <c r="G26" s="9">
        <f t="shared" si="8"/>
        <v>0.25625033246449291</v>
      </c>
      <c r="H26" s="9">
        <f t="shared" si="8"/>
        <v>0.62992539633198641</v>
      </c>
      <c r="I26" s="9">
        <f t="shared" si="8"/>
        <v>0.62495233570665054</v>
      </c>
      <c r="J26" s="9">
        <f t="shared" si="8"/>
        <v>0.64934929194715241</v>
      </c>
      <c r="K26" s="9">
        <f t="shared" si="8"/>
        <v>0.65368200554091493</v>
      </c>
      <c r="L26" s="9">
        <f t="shared" si="8"/>
        <v>0.64902268765335924</v>
      </c>
    </row>
    <row r="28" spans="2:14" x14ac:dyDescent="0.2">
      <c r="B28" s="1" t="s">
        <v>32</v>
      </c>
      <c r="H28" s="9"/>
      <c r="I28" s="9">
        <f t="shared" ref="I28:K28" si="9">+I6/E6-1</f>
        <v>0.49483695276537532</v>
      </c>
      <c r="J28" s="9">
        <f t="shared" si="9"/>
        <v>0.42751654173965248</v>
      </c>
      <c r="K28" s="9">
        <f t="shared" si="9"/>
        <v>0.32146370554623904</v>
      </c>
      <c r="L28" s="9">
        <f>+L6/H6-1</f>
        <v>0.29296394435506756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2024-10-21T12:29:34Z</dcterms:created>
  <dcterms:modified xsi:type="dcterms:W3CDTF">2025-10-14T12:49:41Z</dcterms:modified>
</cp:coreProperties>
</file>