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en\Downloads\"/>
    </mc:Choice>
  </mc:AlternateContent>
  <xr:revisionPtr revIDLastSave="0" documentId="8_{77A161D3-AB46-4CF9-A735-E2FE244F23A3}" xr6:coauthVersionLast="47" xr6:coauthVersionMax="47" xr10:uidLastSave="{00000000-0000-0000-0000-000000000000}"/>
  <bookViews>
    <workbookView xWindow="2340" yWindow="2340" windowWidth="18075" windowHeight="16020" activeTab="1" xr2:uid="{9B095727-CA77-445C-9610-14FFC3399A96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L24" i="2" l="1"/>
  <c r="AK24" i="2"/>
  <c r="AJ24" i="2"/>
  <c r="AI24" i="2"/>
  <c r="AH24" i="2"/>
  <c r="AG24" i="2"/>
  <c r="AF24" i="2"/>
  <c r="AE24" i="2"/>
  <c r="AD24" i="2"/>
  <c r="AC24" i="2"/>
  <c r="AB24" i="2"/>
  <c r="AA24" i="2"/>
  <c r="Z24" i="2"/>
  <c r="Y24" i="2"/>
  <c r="X24" i="2"/>
  <c r="AE15" i="2"/>
  <c r="AE14" i="2"/>
  <c r="AD15" i="2"/>
  <c r="AD14" i="2"/>
  <c r="AE11" i="2"/>
  <c r="AE10" i="2"/>
  <c r="AE8" i="2"/>
  <c r="AE7" i="2"/>
  <c r="AE6" i="2"/>
  <c r="AE5" i="2"/>
  <c r="AE4" i="2"/>
  <c r="AE3" i="2"/>
  <c r="AA25" i="2"/>
  <c r="Z25" i="2"/>
  <c r="Y25" i="2"/>
  <c r="X25" i="2"/>
  <c r="W25" i="2"/>
  <c r="AB23" i="2"/>
  <c r="AA23" i="2"/>
  <c r="Z23" i="2"/>
  <c r="Y23" i="2"/>
  <c r="X23" i="2"/>
  <c r="AA10" i="2"/>
  <c r="Z10" i="2"/>
  <c r="Y10" i="2"/>
  <c r="AA14" i="2"/>
  <c r="Z14" i="2"/>
  <c r="Y14" i="2"/>
  <c r="X14" i="2"/>
  <c r="W14" i="2"/>
  <c r="W9" i="2"/>
  <c r="W11" i="2" s="1"/>
  <c r="AA9" i="2"/>
  <c r="AA11" i="2" s="1"/>
  <c r="Z9" i="2"/>
  <c r="Y9" i="2"/>
  <c r="Y11" i="2" s="1"/>
  <c r="X9" i="2"/>
  <c r="X11" i="2" s="1"/>
  <c r="P27" i="2"/>
  <c r="Q27" i="2" s="1"/>
  <c r="R27" i="2" s="1"/>
  <c r="S27" i="2" s="1"/>
  <c r="P21" i="2"/>
  <c r="Q21" i="2" s="1"/>
  <c r="R21" i="2" s="1"/>
  <c r="S19" i="2"/>
  <c r="R19" i="2"/>
  <c r="Q19" i="2"/>
  <c r="Q20" i="2" s="1"/>
  <c r="P19" i="2"/>
  <c r="P20" i="2" s="1"/>
  <c r="S17" i="2"/>
  <c r="R17" i="2"/>
  <c r="Q17" i="2"/>
  <c r="P17" i="2"/>
  <c r="S13" i="2"/>
  <c r="S14" i="2" s="1"/>
  <c r="S15" i="2" s="1"/>
  <c r="R13" i="2"/>
  <c r="R14" i="2" s="1"/>
  <c r="R15" i="2" s="1"/>
  <c r="Q13" i="2"/>
  <c r="Q14" i="2" s="1"/>
  <c r="Q15" i="2" s="1"/>
  <c r="P13" i="2"/>
  <c r="P14" i="2" s="1"/>
  <c r="P15" i="2" s="1"/>
  <c r="S11" i="2"/>
  <c r="R11" i="2"/>
  <c r="Q11" i="2"/>
  <c r="P11" i="2"/>
  <c r="S10" i="2"/>
  <c r="R10" i="2"/>
  <c r="Q10" i="2"/>
  <c r="P10" i="2"/>
  <c r="O11" i="2"/>
  <c r="S25" i="2"/>
  <c r="R25" i="2"/>
  <c r="Q25" i="2"/>
  <c r="P25" i="2"/>
  <c r="S24" i="2"/>
  <c r="R24" i="2"/>
  <c r="Q24" i="2"/>
  <c r="P24" i="2"/>
  <c r="S23" i="2"/>
  <c r="R23" i="2"/>
  <c r="Q23" i="2"/>
  <c r="P23" i="2"/>
  <c r="P8" i="2"/>
  <c r="O8" i="2"/>
  <c r="S7" i="2"/>
  <c r="R7" i="2"/>
  <c r="Q7" i="2"/>
  <c r="P7" i="2"/>
  <c r="P6" i="2"/>
  <c r="Q6" i="2" s="1"/>
  <c r="R6" i="2" s="1"/>
  <c r="S6" i="2" s="1"/>
  <c r="S4" i="2"/>
  <c r="R4" i="2"/>
  <c r="Q4" i="2"/>
  <c r="P4" i="2"/>
  <c r="S3" i="2"/>
  <c r="R3" i="2"/>
  <c r="Q3" i="2"/>
  <c r="P3" i="2"/>
  <c r="S5" i="2"/>
  <c r="R5" i="2"/>
  <c r="Q5" i="2"/>
  <c r="P5" i="2"/>
  <c r="O5" i="2"/>
  <c r="N42" i="2"/>
  <c r="N35" i="2"/>
  <c r="N33" i="2"/>
  <c r="N27" i="2"/>
  <c r="K5" i="1"/>
  <c r="N15" i="2"/>
  <c r="N14" i="2"/>
  <c r="N25" i="2"/>
  <c r="N11" i="2"/>
  <c r="N24" i="2"/>
  <c r="O24" i="2"/>
  <c r="G24" i="2"/>
  <c r="H24" i="2"/>
  <c r="I24" i="2"/>
  <c r="J24" i="2"/>
  <c r="K24" i="2"/>
  <c r="L24" i="2"/>
  <c r="M24" i="2"/>
  <c r="AF13" i="2"/>
  <c r="AG13" i="2" s="1"/>
  <c r="AF14" i="2"/>
  <c r="AC21" i="2"/>
  <c r="AB21" i="2"/>
  <c r="AD18" i="2"/>
  <c r="AC18" i="2"/>
  <c r="AB18" i="2"/>
  <c r="AD16" i="2"/>
  <c r="AC16" i="2"/>
  <c r="AB16" i="2"/>
  <c r="AC13" i="2"/>
  <c r="AB13" i="2"/>
  <c r="AD12" i="2"/>
  <c r="AC12" i="2"/>
  <c r="AC14" i="2" s="1"/>
  <c r="AB12" i="2"/>
  <c r="AB14" i="2" s="1"/>
  <c r="AC10" i="2"/>
  <c r="AB10" i="2"/>
  <c r="O21" i="2"/>
  <c r="AD21" i="2" s="1"/>
  <c r="AE21" i="2" s="1"/>
  <c r="AF21" i="2" s="1"/>
  <c r="AG21" i="2" s="1"/>
  <c r="AH21" i="2" s="1"/>
  <c r="AI21" i="2" s="1"/>
  <c r="AJ21" i="2" s="1"/>
  <c r="AK21" i="2" s="1"/>
  <c r="AL21" i="2" s="1"/>
  <c r="O13" i="2"/>
  <c r="O14" i="2" s="1"/>
  <c r="AD13" i="2"/>
  <c r="O7" i="2"/>
  <c r="AD7" i="2"/>
  <c r="AF7" i="2" s="1"/>
  <c r="AG7" i="2" s="1"/>
  <c r="AH7" i="2" s="1"/>
  <c r="AI7" i="2" s="1"/>
  <c r="AJ7" i="2" s="1"/>
  <c r="AK7" i="2" s="1"/>
  <c r="AL7" i="2" s="1"/>
  <c r="O4" i="2"/>
  <c r="AD4" i="2"/>
  <c r="AF4" i="2" s="1"/>
  <c r="AG4" i="2" s="1"/>
  <c r="AH4" i="2" s="1"/>
  <c r="AI4" i="2" s="1"/>
  <c r="AJ4" i="2" s="1"/>
  <c r="AK4" i="2" s="1"/>
  <c r="AL4" i="2" s="1"/>
  <c r="O3" i="2"/>
  <c r="AD3" i="2" s="1"/>
  <c r="AD8" i="2"/>
  <c r="AC8" i="2"/>
  <c r="AB8" i="2"/>
  <c r="AC7" i="2"/>
  <c r="AB7" i="2"/>
  <c r="AC6" i="2"/>
  <c r="AB6" i="2"/>
  <c r="AD5" i="2"/>
  <c r="AF5" i="2" s="1"/>
  <c r="AG5" i="2" s="1"/>
  <c r="AH5" i="2" s="1"/>
  <c r="AI5" i="2" s="1"/>
  <c r="AJ5" i="2" s="1"/>
  <c r="AK5" i="2" s="1"/>
  <c r="AL5" i="2" s="1"/>
  <c r="AC5" i="2"/>
  <c r="AB5" i="2"/>
  <c r="AC4" i="2"/>
  <c r="AB4" i="2"/>
  <c r="AC3" i="2"/>
  <c r="AB3" i="2"/>
  <c r="X2" i="2"/>
  <c r="Y2" i="2" s="1"/>
  <c r="Z2" i="2" s="1"/>
  <c r="AA2" i="2" s="1"/>
  <c r="AB2" i="2" s="1"/>
  <c r="AC2" i="2" s="1"/>
  <c r="AD2" i="2" s="1"/>
  <c r="AE2" i="2" s="1"/>
  <c r="AF2" i="2" s="1"/>
  <c r="AG2" i="2" s="1"/>
  <c r="AH2" i="2" s="1"/>
  <c r="AI2" i="2" s="1"/>
  <c r="AJ2" i="2" s="1"/>
  <c r="AK2" i="2" s="1"/>
  <c r="AL2" i="2" s="1"/>
  <c r="AM2" i="2" s="1"/>
  <c r="AN2" i="2" s="1"/>
  <c r="AO2" i="2" s="1"/>
  <c r="AP2" i="2" s="1"/>
  <c r="AQ2" i="2" s="1"/>
  <c r="C14" i="2"/>
  <c r="C9" i="2"/>
  <c r="C11" i="2" s="1"/>
  <c r="C25" i="2" s="1"/>
  <c r="D14" i="2"/>
  <c r="D9" i="2"/>
  <c r="D11" i="2" s="1"/>
  <c r="D25" i="2" s="1"/>
  <c r="E14" i="2"/>
  <c r="E9" i="2"/>
  <c r="E11" i="2" s="1"/>
  <c r="E25" i="2" s="1"/>
  <c r="F14" i="2"/>
  <c r="F9" i="2"/>
  <c r="F11" i="2" s="1"/>
  <c r="J14" i="2"/>
  <c r="J9" i="2"/>
  <c r="G9" i="2"/>
  <c r="G11" i="2" s="1"/>
  <c r="G14" i="2"/>
  <c r="K14" i="2"/>
  <c r="K9" i="2"/>
  <c r="H14" i="2"/>
  <c r="L14" i="2"/>
  <c r="L9" i="2"/>
  <c r="L11" i="2" s="1"/>
  <c r="H9" i="2"/>
  <c r="H11" i="2" s="1"/>
  <c r="H25" i="2" s="1"/>
  <c r="I14" i="2"/>
  <c r="M14" i="2"/>
  <c r="I9" i="2"/>
  <c r="I11" i="2" s="1"/>
  <c r="I25" i="2" s="1"/>
  <c r="M9" i="2"/>
  <c r="M11" i="2" s="1"/>
  <c r="K4" i="1"/>
  <c r="Z11" i="2" l="1"/>
  <c r="W15" i="2"/>
  <c r="W17" i="2" s="1"/>
  <c r="W19" i="2" s="1"/>
  <c r="W20" i="2" s="1"/>
  <c r="X15" i="2"/>
  <c r="X17" i="2" s="1"/>
  <c r="X19" i="2" s="1"/>
  <c r="X20" i="2" s="1"/>
  <c r="Y15" i="2"/>
  <c r="Y17" i="2" s="1"/>
  <c r="Y19" i="2" s="1"/>
  <c r="Y20" i="2" s="1"/>
  <c r="AA15" i="2"/>
  <c r="AA17" i="2" s="1"/>
  <c r="AA19" i="2" s="1"/>
  <c r="AA20" i="2" s="1"/>
  <c r="Z15" i="2"/>
  <c r="Z17" i="2" s="1"/>
  <c r="Z19" i="2" s="1"/>
  <c r="Z20" i="2" s="1"/>
  <c r="S21" i="2"/>
  <c r="S20" i="2" s="1"/>
  <c r="R20" i="2"/>
  <c r="P9" i="2"/>
  <c r="Q8" i="2"/>
  <c r="Q9" i="2" s="1"/>
  <c r="R8" i="2"/>
  <c r="R9" i="2" s="1"/>
  <c r="K7" i="1"/>
  <c r="AB9" i="2"/>
  <c r="AB11" i="2" s="1"/>
  <c r="AC9" i="2"/>
  <c r="AF3" i="2"/>
  <c r="AG3" i="2" s="1"/>
  <c r="AH3" i="2" s="1"/>
  <c r="AI3" i="2" s="1"/>
  <c r="AJ3" i="2" s="1"/>
  <c r="AK3" i="2" s="1"/>
  <c r="AL3" i="2" s="1"/>
  <c r="AC11" i="2"/>
  <c r="AB25" i="2"/>
  <c r="AB15" i="2"/>
  <c r="AB17" i="2" s="1"/>
  <c r="AB19" i="2" s="1"/>
  <c r="AB20" i="2" s="1"/>
  <c r="AH13" i="2"/>
  <c r="AI13" i="2" s="1"/>
  <c r="AG14" i="2"/>
  <c r="G23" i="2"/>
  <c r="N9" i="2"/>
  <c r="N23" i="2" s="1"/>
  <c r="O6" i="2"/>
  <c r="AD6" i="2" s="1"/>
  <c r="C15" i="2"/>
  <c r="C17" i="2" s="1"/>
  <c r="C19" i="2" s="1"/>
  <c r="C20" i="2" s="1"/>
  <c r="K11" i="2"/>
  <c r="K25" i="2" s="1"/>
  <c r="I23" i="2"/>
  <c r="H23" i="2"/>
  <c r="D15" i="2"/>
  <c r="D17" i="2" s="1"/>
  <c r="D19" i="2" s="1"/>
  <c r="D20" i="2" s="1"/>
  <c r="E15" i="2"/>
  <c r="E17" i="2" s="1"/>
  <c r="E19" i="2" s="1"/>
  <c r="E20" i="2" s="1"/>
  <c r="F25" i="2"/>
  <c r="F15" i="2"/>
  <c r="F17" i="2" s="1"/>
  <c r="F19" i="2" s="1"/>
  <c r="F20" i="2" s="1"/>
  <c r="J23" i="2"/>
  <c r="J11" i="2"/>
  <c r="M23" i="2"/>
  <c r="L23" i="2"/>
  <c r="K23" i="2"/>
  <c r="G25" i="2"/>
  <c r="G15" i="2"/>
  <c r="G17" i="2" s="1"/>
  <c r="G19" i="2" s="1"/>
  <c r="G20" i="2" s="1"/>
  <c r="M25" i="2"/>
  <c r="M15" i="2"/>
  <c r="M17" i="2" s="1"/>
  <c r="M19" i="2" s="1"/>
  <c r="M20" i="2" s="1"/>
  <c r="L15" i="2"/>
  <c r="L17" i="2" s="1"/>
  <c r="L19" i="2" s="1"/>
  <c r="L20" i="2" s="1"/>
  <c r="L25" i="2"/>
  <c r="H15" i="2"/>
  <c r="H17" i="2" s="1"/>
  <c r="H19" i="2" s="1"/>
  <c r="H20" i="2" s="1"/>
  <c r="I15" i="2"/>
  <c r="I17" i="2" s="1"/>
  <c r="I19" i="2" s="1"/>
  <c r="I20" i="2" s="1"/>
  <c r="S8" i="2" l="1"/>
  <c r="S9" i="2" s="1"/>
  <c r="AC23" i="2"/>
  <c r="K15" i="2"/>
  <c r="K17" i="2" s="1"/>
  <c r="K19" i="2" s="1"/>
  <c r="K20" i="2" s="1"/>
  <c r="AD9" i="2"/>
  <c r="O9" i="2"/>
  <c r="AC25" i="2"/>
  <c r="AC15" i="2"/>
  <c r="AC17" i="2" s="1"/>
  <c r="AC19" i="2" s="1"/>
  <c r="AC20" i="2" s="1"/>
  <c r="AH14" i="2"/>
  <c r="AD23" i="2"/>
  <c r="AJ13" i="2"/>
  <c r="AI14" i="2"/>
  <c r="J15" i="2"/>
  <c r="J17" i="2" s="1"/>
  <c r="J19" i="2" s="1"/>
  <c r="J20" i="2" s="1"/>
  <c r="J25" i="2"/>
  <c r="N17" i="2" l="1"/>
  <c r="N19" i="2" s="1"/>
  <c r="O10" i="2"/>
  <c r="O23" i="2"/>
  <c r="AF6" i="2"/>
  <c r="AE9" i="2"/>
  <c r="AJ14" i="2"/>
  <c r="AK13" i="2"/>
  <c r="AE23" i="2" l="1"/>
  <c r="O25" i="2"/>
  <c r="O15" i="2"/>
  <c r="O17" i="2" s="1"/>
  <c r="O19" i="2" s="1"/>
  <c r="O20" i="2" s="1"/>
  <c r="AG6" i="2"/>
  <c r="AF9" i="2"/>
  <c r="N20" i="2"/>
  <c r="AD10" i="2"/>
  <c r="AD11" i="2" s="1"/>
  <c r="AL13" i="2"/>
  <c r="AL14" i="2" s="1"/>
  <c r="AK14" i="2"/>
  <c r="O27" i="2" l="1"/>
  <c r="AD27" i="2" s="1"/>
  <c r="AE16" i="2" s="1"/>
  <c r="AE17" i="2" s="1"/>
  <c r="AE18" i="2" s="1"/>
  <c r="AE19" i="2" s="1"/>
  <c r="AD17" i="2"/>
  <c r="AD19" i="2" s="1"/>
  <c r="AD20" i="2" s="1"/>
  <c r="AD25" i="2"/>
  <c r="AF23" i="2"/>
  <c r="AF11" i="2"/>
  <c r="AH6" i="2"/>
  <c r="AG9" i="2"/>
  <c r="AE25" i="2"/>
  <c r="AE20" i="2" l="1"/>
  <c r="AE27" i="2"/>
  <c r="AG11" i="2"/>
  <c r="AG10" i="2" s="1"/>
  <c r="AG23" i="2"/>
  <c r="AI6" i="2"/>
  <c r="AH9" i="2"/>
  <c r="AF15" i="2"/>
  <c r="AF25" i="2"/>
  <c r="AF10" i="2"/>
  <c r="AH23" i="2" l="1"/>
  <c r="AH11" i="2"/>
  <c r="AH10" i="2"/>
  <c r="AJ6" i="2"/>
  <c r="AI9" i="2"/>
  <c r="AG25" i="2"/>
  <c r="AG15" i="2"/>
  <c r="AF16" i="2"/>
  <c r="AF17" i="2" s="1"/>
  <c r="AF18" i="2" s="1"/>
  <c r="AF19" i="2" s="1"/>
  <c r="AF20" i="2" s="1"/>
  <c r="AF27" i="2" l="1"/>
  <c r="AG16" i="2" s="1"/>
  <c r="AG17" i="2" s="1"/>
  <c r="AG18" i="2" s="1"/>
  <c r="AG19" i="2" s="1"/>
  <c r="AG20" i="2" s="1"/>
  <c r="AI23" i="2"/>
  <c r="AI11" i="2"/>
  <c r="AK6" i="2"/>
  <c r="AJ9" i="2"/>
  <c r="AH25" i="2"/>
  <c r="AH15" i="2"/>
  <c r="AG27" i="2" l="1"/>
  <c r="AH16" i="2" s="1"/>
  <c r="AH17" i="2" s="1"/>
  <c r="AH18" i="2" s="1"/>
  <c r="AH19" i="2" s="1"/>
  <c r="AH20" i="2" s="1"/>
  <c r="AJ11" i="2"/>
  <c r="AJ23" i="2"/>
  <c r="AJ10" i="2"/>
  <c r="AL6" i="2"/>
  <c r="AL9" i="2" s="1"/>
  <c r="AK9" i="2"/>
  <c r="AI25" i="2"/>
  <c r="AI15" i="2"/>
  <c r="AI10" i="2"/>
  <c r="AH27" i="2" l="1"/>
  <c r="AI16" i="2" s="1"/>
  <c r="AI17" i="2" s="1"/>
  <c r="AI18" i="2" s="1"/>
  <c r="AI19" i="2" s="1"/>
  <c r="AI20" i="2" s="1"/>
  <c r="AK23" i="2"/>
  <c r="AK11" i="2"/>
  <c r="AL11" i="2"/>
  <c r="AL10" i="2"/>
  <c r="AL23" i="2"/>
  <c r="AJ25" i="2"/>
  <c r="AJ15" i="2"/>
  <c r="AI27" i="2" l="1"/>
  <c r="AJ16" i="2" s="1"/>
  <c r="AJ17" i="2" s="1"/>
  <c r="AJ18" i="2" s="1"/>
  <c r="AJ19" i="2" s="1"/>
  <c r="AL25" i="2"/>
  <c r="AL15" i="2"/>
  <c r="AK25" i="2"/>
  <c r="AK15" i="2"/>
  <c r="AK10" i="2"/>
  <c r="AJ20" i="2" l="1"/>
  <c r="AJ27" i="2"/>
  <c r="AK16" i="2"/>
  <c r="AK17" i="2" s="1"/>
  <c r="AK18" i="2" s="1"/>
  <c r="AK19" i="2" s="1"/>
  <c r="AK20" i="2" s="1"/>
  <c r="AK27" i="2" l="1"/>
  <c r="AL16" i="2" l="1"/>
  <c r="AL17" i="2" s="1"/>
  <c r="AL18" i="2" s="1"/>
  <c r="AL19" i="2" s="1"/>
  <c r="AL20" i="2" l="1"/>
  <c r="AM19" i="2"/>
  <c r="AN19" i="2" s="1"/>
  <c r="AO19" i="2" s="1"/>
  <c r="AP19" i="2" s="1"/>
  <c r="AQ19" i="2" s="1"/>
  <c r="AR19" i="2" s="1"/>
  <c r="AS19" i="2" s="1"/>
  <c r="AT19" i="2" s="1"/>
  <c r="AU19" i="2" s="1"/>
  <c r="AV19" i="2" s="1"/>
  <c r="AW19" i="2" s="1"/>
  <c r="AX19" i="2" s="1"/>
  <c r="AY19" i="2" s="1"/>
  <c r="AZ19" i="2" s="1"/>
  <c r="BA19" i="2" s="1"/>
  <c r="BB19" i="2" s="1"/>
  <c r="BC19" i="2" s="1"/>
  <c r="BD19" i="2" s="1"/>
  <c r="BE19" i="2" s="1"/>
  <c r="BF19" i="2" s="1"/>
  <c r="BG19" i="2" s="1"/>
  <c r="BH19" i="2" s="1"/>
  <c r="BI19" i="2" s="1"/>
  <c r="BJ19" i="2" s="1"/>
  <c r="BK19" i="2" s="1"/>
  <c r="BL19" i="2" s="1"/>
  <c r="BM19" i="2" s="1"/>
  <c r="BN19" i="2" s="1"/>
  <c r="BO19" i="2" s="1"/>
  <c r="BP19" i="2" s="1"/>
  <c r="BQ19" i="2" s="1"/>
  <c r="BR19" i="2" s="1"/>
  <c r="BS19" i="2" s="1"/>
  <c r="BT19" i="2" s="1"/>
  <c r="BU19" i="2" s="1"/>
  <c r="BV19" i="2" s="1"/>
  <c r="BW19" i="2" s="1"/>
  <c r="BX19" i="2" s="1"/>
  <c r="BY19" i="2" s="1"/>
  <c r="BZ19" i="2" s="1"/>
  <c r="CA19" i="2" s="1"/>
  <c r="CB19" i="2" s="1"/>
  <c r="CC19" i="2" s="1"/>
  <c r="CD19" i="2" s="1"/>
  <c r="CE19" i="2" s="1"/>
  <c r="CF19" i="2" s="1"/>
  <c r="CG19" i="2" s="1"/>
  <c r="CH19" i="2" s="1"/>
  <c r="CI19" i="2" s="1"/>
  <c r="CJ19" i="2" s="1"/>
  <c r="CK19" i="2" s="1"/>
  <c r="CL19" i="2" s="1"/>
  <c r="CM19" i="2" s="1"/>
  <c r="CN19" i="2" s="1"/>
  <c r="CO19" i="2" s="1"/>
  <c r="CP19" i="2" s="1"/>
  <c r="CQ19" i="2" s="1"/>
  <c r="CR19" i="2" s="1"/>
  <c r="CS19" i="2" s="1"/>
  <c r="AO26" i="2" s="1"/>
  <c r="AO27" i="2" s="1"/>
  <c r="AL27" i="2"/>
</calcChain>
</file>

<file path=xl/sharedStrings.xml><?xml version="1.0" encoding="utf-8"?>
<sst xmlns="http://schemas.openxmlformats.org/spreadsheetml/2006/main" count="129" uniqueCount="112">
  <si>
    <t>Price</t>
  </si>
  <si>
    <t>Shares</t>
  </si>
  <si>
    <t>MC</t>
  </si>
  <si>
    <t>Cash</t>
  </si>
  <si>
    <t>Debt</t>
  </si>
  <si>
    <t>EV</t>
  </si>
  <si>
    <t>Q222</t>
  </si>
  <si>
    <t>Brand</t>
  </si>
  <si>
    <t>Adcetris</t>
  </si>
  <si>
    <t>Padcev</t>
  </si>
  <si>
    <t>Tukysa</t>
  </si>
  <si>
    <t>Tivdak</t>
  </si>
  <si>
    <t>CEO</t>
  </si>
  <si>
    <t>Roger Dansey</t>
  </si>
  <si>
    <t>CMO</t>
  </si>
  <si>
    <t>Main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</si>
  <si>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</si>
  <si>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</si>
  <si>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</si>
  <si>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</si>
  <si>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</si>
  <si>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</si>
  <si>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</si>
  <si>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</si>
  <si>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</si>
  <si>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Q322</t>
  </si>
  <si>
    <t>Q422</t>
  </si>
  <si>
    <t>Revenue</t>
  </si>
  <si>
    <t>Royalty</t>
  </si>
  <si>
    <t>Collab</t>
  </si>
  <si>
    <t>COGS</t>
  </si>
  <si>
    <t>Gross Profit</t>
  </si>
  <si>
    <t>R&amp;D</t>
  </si>
  <si>
    <t>SG&amp;A</t>
  </si>
  <si>
    <t>OpEx</t>
  </si>
  <si>
    <t>OpInc</t>
  </si>
  <si>
    <t>Interest</t>
  </si>
  <si>
    <t>EPS</t>
  </si>
  <si>
    <t>Net Income</t>
  </si>
  <si>
    <t>Taxes</t>
  </si>
  <si>
    <t>Pretax Income</t>
  </si>
  <si>
    <t>Gross Margin</t>
  </si>
  <si>
    <t>Revenue y/y</t>
  </si>
  <si>
    <t>267.9</t>
  </si>
  <si>
    <t>14.7</t>
  </si>
  <si>
    <t>15.2</t>
  </si>
  <si>
    <t>26.7</t>
  </si>
  <si>
    <t>2.2</t>
  </si>
  <si>
    <t>4.8</t>
  </si>
  <si>
    <t>16.6</t>
  </si>
  <si>
    <t>6.3</t>
  </si>
  <si>
    <t>15.6</t>
  </si>
  <si>
    <t>Q419</t>
  </si>
  <si>
    <t>51.1</t>
  </si>
  <si>
    <t>LAVA-1223</t>
  </si>
  <si>
    <t>telisotuzumab vedotin</t>
  </si>
  <si>
    <t>Indication</t>
  </si>
  <si>
    <t>MOA</t>
  </si>
  <si>
    <t>Approved</t>
  </si>
  <si>
    <t>Polivy</t>
  </si>
  <si>
    <t>Blenrep</t>
  </si>
  <si>
    <t>Padcev (enfortumab vedotin)</t>
  </si>
  <si>
    <t>Adcetris (brentuximab vedotin)</t>
  </si>
  <si>
    <t>HL</t>
  </si>
  <si>
    <t>mUC</t>
  </si>
  <si>
    <t>Tukysa (tucatinib)</t>
  </si>
  <si>
    <t>mBC</t>
  </si>
  <si>
    <t>Tivdak (tisotumab vedotin)</t>
  </si>
  <si>
    <t>Cevical</t>
  </si>
  <si>
    <t>disitamab vedotin</t>
  </si>
  <si>
    <t>ladiratuzumab vedotin</t>
  </si>
  <si>
    <t>mTNBC</t>
  </si>
  <si>
    <t>SEA-CD40</t>
  </si>
  <si>
    <t>SEA-BCMA</t>
  </si>
  <si>
    <t>SGN-CD228A</t>
  </si>
  <si>
    <t>SEA-CD70</t>
  </si>
  <si>
    <t>SEA-TGT</t>
  </si>
  <si>
    <t>SGN-B6A</t>
  </si>
  <si>
    <t>SGN-STNV</t>
  </si>
  <si>
    <t>SGN-B7H4V</t>
  </si>
  <si>
    <t>SGN-PDL1V</t>
  </si>
  <si>
    <t>SGN-ALPV</t>
  </si>
  <si>
    <t>Phase</t>
  </si>
  <si>
    <t>I</t>
  </si>
  <si>
    <t>PC</t>
  </si>
  <si>
    <t>II</t>
  </si>
  <si>
    <t>Discount</t>
  </si>
  <si>
    <t>Maturity</t>
  </si>
  <si>
    <t>ROIC</t>
  </si>
  <si>
    <t>NPV</t>
  </si>
  <si>
    <t>Adcetris y/y</t>
  </si>
  <si>
    <t>Q123</t>
  </si>
  <si>
    <t>Q223</t>
  </si>
  <si>
    <t>Q323</t>
  </si>
  <si>
    <t>Q423</t>
  </si>
  <si>
    <t>Assets</t>
  </si>
  <si>
    <t>A/R</t>
  </si>
  <si>
    <t>Inventories</t>
  </si>
  <si>
    <t>Prepaids</t>
  </si>
  <si>
    <t>PP&amp;E</t>
  </si>
  <si>
    <t>Lease</t>
  </si>
  <si>
    <t>Goodwill</t>
  </si>
  <si>
    <t>ONCA</t>
  </si>
  <si>
    <t>AP</t>
  </si>
  <si>
    <t>AL</t>
  </si>
  <si>
    <t>Leases</t>
  </si>
  <si>
    <t>OLTL</t>
  </si>
  <si>
    <t>S/E</t>
  </si>
  <si>
    <t>L+SE</t>
  </si>
  <si>
    <t>Headcount</t>
  </si>
  <si>
    <t>Share</t>
  </si>
  <si>
    <t>Incorporated 1997-07-15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</si>
</sst>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7">
    <xf numFmtId="0" fontId="0" fillId="0" borderId="0" xfId="0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0" xfId="0" applyFont="1"/>
    <xf numFmtId="0" fontId="1" fillId="0" borderId="0" xfId="0" applyFont="1" applyAlignment="1">
      <alignment horizontal="right"/>
    </xf>
    <xf numFmtId="164" fontId="0" fillId="0" borderId="0" xfId="0" applyNumberFormat="1"/>
    <xf numFmtId="164" fontId="0" fillId="0" borderId="0" xfId="0" applyNumberFormat="1" applyAlignment="1">
      <alignment horizontal="right"/>
    </xf>
    <xf numFmtId="164" fontId="1" fillId="0" borderId="0" xfId="0" applyNumberFormat="1" applyFont="1"/>
    <xf numFmtId="164" fontId="1" fillId="0" borderId="0" xfId="0" applyNumberFormat="1" applyFont="1" applyAlignment="1">
      <alignment horizontal="right"/>
    </xf>
    <xf numFmtId="4" fontId="0" fillId="0" borderId="0" xfId="0" applyNumberFormat="1" applyAlignment="1">
      <alignment horizontal="right"/>
    </xf>
    <xf numFmtId="9" fontId="0" fillId="0" borderId="0" xfId="0" applyNumberFormat="1" applyAlignment="1">
      <alignment horizontal="right"/>
    </xf>
    <xf numFmtId="164" fontId="0" fillId="0" borderId="0" xfId="0" quotePrefix="1" applyNumberFormat="1" applyAlignment="1">
      <alignment horizontal="right"/>
    </xf>
    <xf numFmtId="0" fontId="2" fillId="0" borderId="0" xfId="1"/>
    <xf numFmtId="9" fontId="1" fillId="0" borderId="0" xfId="0" applyNumberFormat="1" applyFont="1" applyAlignment="1">
      <alignment horizontal="right"/>
    </xf>
    <xf numFmtId="164" fontId="0" fillId="2" borderId="0" xfId="0" applyNumberFormat="1" applyFill="1" applyAlignment="1">
      <alignment horizontal="right"/>
    </xf>
    <xf numFmtId="0" fontId="0" fillId="0" borderId="0" xfId="0" quotePrefix="1"/>
    <xf numFmtId="9" fontId="1" fillId="0" borderId="0" xfId="0" applyNumberFormat="1" applyFont="1"/>
    <xf numFmtId="9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28245</xdr:colOff>
      <xdr:row>0</xdr:row>
      <xdr:rowOff>0</xdr:rowOff>
    </xdr:from>
    <xdr:to>
      <xdr:col>14</xdr:col>
      <xdr:colOff>28245</xdr:colOff>
      <xdr:row>64</xdr:row>
      <xdr:rowOff>100264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3F138153-85EF-348B-6DEF-9B3EB52F50B2}"/>
            </a:ext>
          </a:extLst>
        </xdr:cNvPr>
        <xdr:cNvCxnSpPr/>
      </xdr:nvCxnSpPr>
      <xdr:spPr>
        <a:xfrm>
          <a:off x="8560640" y="0"/>
          <a:ext cx="0" cy="1036721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4891</xdr:colOff>
      <xdr:row>0</xdr:row>
      <xdr:rowOff>37049</xdr:rowOff>
    </xdr:from>
    <xdr:to>
      <xdr:col>29</xdr:col>
      <xdr:colOff>4891</xdr:colOff>
      <xdr:row>34</xdr:row>
      <xdr:rowOff>135355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920760B9-4EE9-4A31-8EC7-FE84FF92E1B2}"/>
            </a:ext>
          </a:extLst>
        </xdr:cNvPr>
        <xdr:cNvCxnSpPr/>
      </xdr:nvCxnSpPr>
      <xdr:spPr>
        <a:xfrm>
          <a:off x="15876549" y="37049"/>
          <a:ext cx="0" cy="539220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B228AE-D6AF-4101-AD48-D2B6D55E6982}">
  <dimension ref="B2:L23"/>
  <sheetViews>
    <sheetView zoomScaleNormal="100" workbookViewId="0">
      <selection activeCell="L7" sqref="L7"/>
    </sheetView>
  </sheetViews>
  <sheetFormatPr defaultRowHeight="12.75" x14ac:dyDescent="0.2"/>
  <cols>
    <col min="1" max="1" width="2.42578125" customWidth="1"/>
    <col min="2" max="2" width="25" customWidth="1"/>
  </cols>
  <sheetData>
    <row r="2" spans="2:12" x14ac:dyDescent="0.2">
      <c r="B2" s="9" t="s">
        <v>7</v>
      </c>
      <c r="C2" s="10" t="s">
        <v>56</v>
      </c>
      <c r="D2" s="10" t="s">
        <v>57</v>
      </c>
      <c r="E2" s="10" t="s">
        <v>58</v>
      </c>
      <c r="F2" s="10"/>
      <c r="G2" s="10"/>
      <c r="H2" s="11"/>
      <c r="J2" t="s">
        <v>0</v>
      </c>
      <c r="K2" s="1">
        <v>127.02</v>
      </c>
    </row>
    <row r="3" spans="2:12" x14ac:dyDescent="0.2">
      <c r="B3" s="4" t="s">
        <v>62</v>
      </c>
      <c r="C3" t="s">
        <v>63</v>
      </c>
      <c r="H3" s="5"/>
      <c r="J3" t="s">
        <v>1</v>
      </c>
      <c r="K3" s="2">
        <v>185.66490099999999</v>
      </c>
      <c r="L3" s="3" t="s">
        <v>25</v>
      </c>
    </row>
    <row r="4" spans="2:12" x14ac:dyDescent="0.2">
      <c r="B4" s="4" t="s">
        <v>61</v>
      </c>
      <c r="C4" t="s">
        <v>64</v>
      </c>
      <c r="F4" s="24"/>
      <c r="H4" s="5"/>
      <c r="J4" t="s">
        <v>2</v>
      </c>
      <c r="K4" s="2">
        <f>+K2*K3</f>
        <v>23583.155725019998</v>
      </c>
    </row>
    <row r="5" spans="2:12" x14ac:dyDescent="0.2">
      <c r="B5" s="4" t="s">
        <v>65</v>
      </c>
      <c r="C5" t="s">
        <v>66</v>
      </c>
      <c r="H5" s="5"/>
      <c r="J5" t="s">
        <v>3</v>
      </c>
      <c r="K5" s="2">
        <f>362.601+1401.101</f>
        <v>1763.7020000000002</v>
      </c>
      <c r="L5" s="3" t="s">
        <v>25</v>
      </c>
    </row>
    <row r="6" spans="2:12" x14ac:dyDescent="0.2">
      <c r="B6" s="4" t="s">
        <v>67</v>
      </c>
      <c r="C6" t="s">
        <v>68</v>
      </c>
      <c r="H6" s="5"/>
      <c r="J6" t="s">
        <v>4</v>
      </c>
      <c r="K6" s="2">
        <v>0</v>
      </c>
      <c r="L6" s="3" t="s">
        <v>25</v>
      </c>
    </row>
    <row r="7" spans="2:12" x14ac:dyDescent="0.2">
      <c r="B7" s="4" t="s">
        <v>60</v>
      </c>
      <c r="H7" s="5"/>
      <c r="J7" t="s">
        <v>5</v>
      </c>
      <c r="K7" s="2">
        <f>+K4-K5+K6</f>
        <v>21819.453725019997</v>
      </c>
    </row>
    <row r="8" spans="2:12" x14ac:dyDescent="0.2">
      <c r="B8" s="6" t="s">
        <v>59</v>
      </c>
      <c r="C8" s="7"/>
      <c r="D8" s="7"/>
      <c r="E8" s="7"/>
      <c r="F8" s="7"/>
      <c r="G8" s="7"/>
      <c r="H8" s="8"/>
    </row>
    <row r="9" spans="2:12" x14ac:dyDescent="0.2">
      <c r="B9" s="9"/>
      <c r="C9" s="10"/>
      <c r="D9" s="10"/>
      <c r="E9" s="10" t="s">
        <v>82</v>
      </c>
      <c r="F9" s="10"/>
      <c r="G9" s="10"/>
      <c r="H9" s="11"/>
      <c r="J9" t="s">
        <v>12</v>
      </c>
    </row>
    <row r="10" spans="2:12" x14ac:dyDescent="0.2">
      <c r="B10" s="4" t="s">
        <v>55</v>
      </c>
      <c r="E10" t="s">
        <v>85</v>
      </c>
      <c r="H10" s="5"/>
      <c r="J10" t="s">
        <v>14</v>
      </c>
      <c r="K10" t="s">
        <v>13</v>
      </c>
    </row>
    <row r="11" spans="2:12" x14ac:dyDescent="0.2">
      <c r="B11" s="4" t="s">
        <v>69</v>
      </c>
      <c r="C11" t="s">
        <v>64</v>
      </c>
      <c r="E11" t="s">
        <v>85</v>
      </c>
      <c r="H11" s="5"/>
    </row>
    <row r="12" spans="2:12" x14ac:dyDescent="0.2">
      <c r="B12" s="4" t="s">
        <v>70</v>
      </c>
      <c r="C12" t="s">
        <v>71</v>
      </c>
      <c r="E12" t="s">
        <v>85</v>
      </c>
      <c r="H12" s="5"/>
    </row>
    <row r="13" spans="2:12" x14ac:dyDescent="0.2">
      <c r="B13" s="4" t="s">
        <v>72</v>
      </c>
      <c r="E13" t="s">
        <v>85</v>
      </c>
      <c r="H13" s="5"/>
    </row>
    <row r="14" spans="2:12" x14ac:dyDescent="0.2">
      <c r="B14" s="4" t="s">
        <v>73</v>
      </c>
      <c r="E14" t="s">
        <v>83</v>
      </c>
      <c r="H14" s="5"/>
      <c r="J14" t="s">
        <v>111</v>
      </c>
    </row>
    <row r="15" spans="2:12" x14ac:dyDescent="0.2">
      <c r="B15" s="4" t="s">
        <v>74</v>
      </c>
      <c r="E15" t="s">
        <v>83</v>
      </c>
      <c r="H15" s="5"/>
    </row>
    <row r="16" spans="2:12" x14ac:dyDescent="0.2">
      <c r="B16" s="4" t="s">
        <v>54</v>
      </c>
      <c r="E16" t="s">
        <v>84</v>
      </c>
      <c r="H16" s="5"/>
    </row>
    <row r="17" spans="2:8" x14ac:dyDescent="0.2">
      <c r="B17" s="4" t="s">
        <v>76</v>
      </c>
      <c r="E17" t="s">
        <v>83</v>
      </c>
      <c r="H17" s="5"/>
    </row>
    <row r="18" spans="2:8" x14ac:dyDescent="0.2">
      <c r="B18" s="4" t="s">
        <v>77</v>
      </c>
      <c r="E18" t="s">
        <v>83</v>
      </c>
      <c r="H18" s="5"/>
    </row>
    <row r="19" spans="2:8" x14ac:dyDescent="0.2">
      <c r="B19" s="4" t="s">
        <v>78</v>
      </c>
      <c r="E19" t="s">
        <v>83</v>
      </c>
      <c r="H19" s="5"/>
    </row>
    <row r="20" spans="2:8" x14ac:dyDescent="0.2">
      <c r="B20" s="4" t="s">
        <v>79</v>
      </c>
      <c r="E20" t="s">
        <v>83</v>
      </c>
      <c r="H20" s="5"/>
    </row>
    <row r="21" spans="2:8" x14ac:dyDescent="0.2">
      <c r="B21" s="4" t="s">
        <v>80</v>
      </c>
      <c r="E21" t="s">
        <v>83</v>
      </c>
      <c r="H21" s="5"/>
    </row>
    <row r="22" spans="2:8" x14ac:dyDescent="0.2">
      <c r="B22" s="4" t="s">
        <v>81</v>
      </c>
      <c r="E22" t="s">
        <v>83</v>
      </c>
      <c r="H22" s="5"/>
    </row>
    <row r="23" spans="2:8" x14ac:dyDescent="0.2">
      <c r="B23" s="6" t="s">
        <v>75</v>
      </c>
      <c r="C23" s="7"/>
      <c r="D23" s="7"/>
      <c r="E23" s="7" t="s">
        <v>83</v>
      </c>
      <c r="F23" s="7"/>
      <c r="G23" s="7"/>
      <c r="H23" s="8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0912D-D6E1-4833-8E20-8704C5D1DCB4}">
  <dimension ref="A1:CS44"/>
  <sheetViews>
    <sheetView tabSelected="1" zoomScale="85" zoomScaleNormal="85" workbookViewId="0">
      <pane xSplit="2" ySplit="2" topLeftCell="W3" activePane="bottomRight" state="frozen"/>
      <selection pane="topRight" activeCell="C1" sqref="C1"/>
      <selection pane="bottomLeft" activeCell="A3" sqref="A3"/>
      <selection pane="bottomRight" activeCell="AO27" sqref="AO27"/>
    </sheetView>
  </sheetViews>
  <sheetFormatPr defaultRowHeight="12.75" x14ac:dyDescent="0.2"/>
  <cols>
    <col min="1" max="1" width="5" bestFit="1" customWidth="1"/>
    <col min="2" max="2" width="12.85546875" customWidth="1"/>
    <col min="3" max="18" width="9.140625" style="3"/>
    <col min="41" max="41" width="8.28515625" customWidth="1"/>
  </cols>
  <sheetData>
    <row r="1" spans="1:43" x14ac:dyDescent="0.2">
      <c r="A1" s="21" t="s">
        <v>15</v>
      </c>
    </row>
    <row r="2" spans="1:43" x14ac:dyDescent="0.2">
      <c r="C2" s="3" t="s">
        <v>52</v>
      </c>
      <c r="D2" s="3" t="s">
        <v>16</v>
      </c>
      <c r="E2" s="3" t="s">
        <v>17</v>
      </c>
      <c r="F2" s="3" t="s">
        <v>18</v>
      </c>
      <c r="G2" s="3" t="s">
        <v>19</v>
      </c>
      <c r="H2" s="3" t="s">
        <v>20</v>
      </c>
      <c r="I2" s="3" t="s">
        <v>21</v>
      </c>
      <c r="J2" s="3" t="s">
        <v>22</v>
      </c>
      <c r="K2" s="3" t="s">
        <v>23</v>
      </c>
      <c r="L2" s="3" t="s">
        <v>24</v>
      </c>
      <c r="M2" s="3" t="s">
        <v>6</v>
      </c>
      <c r="N2" s="3" t="s">
        <v>25</v>
      </c>
      <c r="O2" s="3" t="s">
        <v>26</v>
      </c>
      <c r="P2" s="3" t="s">
        <v>91</v>
      </c>
      <c r="Q2" s="3" t="s">
        <v>92</v>
      </c>
      <c r="R2" s="3" t="s">
        <v>93</v>
      </c>
      <c r="S2" s="3" t="s">
        <v>94</v>
      </c>
      <c r="W2">
        <v>2015</v>
      </c>
      <c r="X2">
        <f>+W2+1</f>
        <v>2016</v>
      </c>
      <c r="Y2">
        <f t="shared" ref="Y2:AQ2" si="0">+X2+1</f>
        <v>2017</v>
      </c>
      <c r="Z2">
        <f t="shared" si="0"/>
        <v>2018</v>
      </c>
      <c r="AA2">
        <f t="shared" si="0"/>
        <v>2019</v>
      </c>
      <c r="AB2">
        <f t="shared" si="0"/>
        <v>2020</v>
      </c>
      <c r="AC2">
        <f t="shared" si="0"/>
        <v>2021</v>
      </c>
      <c r="AD2">
        <f t="shared" si="0"/>
        <v>2022</v>
      </c>
      <c r="AE2">
        <f t="shared" si="0"/>
        <v>2023</v>
      </c>
      <c r="AF2">
        <f t="shared" si="0"/>
        <v>2024</v>
      </c>
      <c r="AG2">
        <f t="shared" si="0"/>
        <v>2025</v>
      </c>
      <c r="AH2">
        <f t="shared" si="0"/>
        <v>2026</v>
      </c>
      <c r="AI2">
        <f t="shared" si="0"/>
        <v>2027</v>
      </c>
      <c r="AJ2">
        <f t="shared" si="0"/>
        <v>2028</v>
      </c>
      <c r="AK2">
        <f t="shared" si="0"/>
        <v>2029</v>
      </c>
      <c r="AL2">
        <f t="shared" si="0"/>
        <v>2030</v>
      </c>
      <c r="AM2">
        <f t="shared" si="0"/>
        <v>2031</v>
      </c>
      <c r="AN2">
        <f t="shared" si="0"/>
        <v>2032</v>
      </c>
      <c r="AO2">
        <f t="shared" si="0"/>
        <v>2033</v>
      </c>
      <c r="AP2">
        <f t="shared" si="0"/>
        <v>2034</v>
      </c>
      <c r="AQ2">
        <f t="shared" si="0"/>
        <v>2035</v>
      </c>
    </row>
    <row r="3" spans="1:43" s="14" customFormat="1" x14ac:dyDescent="0.2">
      <c r="B3" s="14" t="s">
        <v>8</v>
      </c>
      <c r="C3" s="15">
        <v>166.2</v>
      </c>
      <c r="D3" s="15">
        <v>164.1</v>
      </c>
      <c r="E3" s="15">
        <v>167.5</v>
      </c>
      <c r="F3" s="15">
        <v>163.30000000000001</v>
      </c>
      <c r="G3" s="15">
        <v>163.69999999999999</v>
      </c>
      <c r="H3" s="15">
        <v>162.55000000000001</v>
      </c>
      <c r="I3" s="15">
        <v>181.9</v>
      </c>
      <c r="J3" s="15">
        <v>184.8</v>
      </c>
      <c r="K3" s="15">
        <v>176.3</v>
      </c>
      <c r="L3" s="15">
        <v>181</v>
      </c>
      <c r="M3" s="15">
        <v>201.9</v>
      </c>
      <c r="N3" s="15">
        <v>219.089</v>
      </c>
      <c r="O3" s="15">
        <f>+K3*1.1</f>
        <v>193.93000000000004</v>
      </c>
      <c r="P3" s="15">
        <f t="shared" ref="P3:S4" si="1">+L3*1.1</f>
        <v>199.10000000000002</v>
      </c>
      <c r="Q3" s="15">
        <f t="shared" si="1"/>
        <v>222.09000000000003</v>
      </c>
      <c r="R3" s="15">
        <f t="shared" si="1"/>
        <v>240.99790000000002</v>
      </c>
      <c r="S3" s="15">
        <f t="shared" si="1"/>
        <v>213.32300000000006</v>
      </c>
      <c r="W3" s="14">
        <v>226.05199999999999</v>
      </c>
      <c r="X3" s="14">
        <v>265.76600000000002</v>
      </c>
      <c r="Y3" s="14">
        <v>307.56200000000001</v>
      </c>
      <c r="Z3" s="14">
        <v>476.90300000000002</v>
      </c>
      <c r="AA3" s="14">
        <v>627.73299999999995</v>
      </c>
      <c r="AB3" s="14">
        <f>SUM(D3:G3)</f>
        <v>658.6</v>
      </c>
      <c r="AC3" s="14">
        <f>SUM(H3:K3)</f>
        <v>705.55</v>
      </c>
      <c r="AD3" s="14">
        <f>SUM(L3:O3)</f>
        <v>795.9190000000001</v>
      </c>
      <c r="AE3" s="14">
        <f>SUM(P3:S3)</f>
        <v>875.51090000000022</v>
      </c>
      <c r="AF3" s="14">
        <f t="shared" ref="AF3:AL3" si="2">+AE3*1.03</f>
        <v>901.77622700000029</v>
      </c>
      <c r="AG3" s="14">
        <f t="shared" si="2"/>
        <v>928.82951381000032</v>
      </c>
      <c r="AH3" s="14">
        <f t="shared" si="2"/>
        <v>956.69439922430035</v>
      </c>
      <c r="AI3" s="14">
        <f t="shared" si="2"/>
        <v>985.39523120102945</v>
      </c>
      <c r="AJ3" s="14">
        <f t="shared" si="2"/>
        <v>1014.9570881370604</v>
      </c>
      <c r="AK3" s="14">
        <f t="shared" si="2"/>
        <v>1045.4058007811723</v>
      </c>
      <c r="AL3" s="14">
        <f t="shared" si="2"/>
        <v>1076.7679748046075</v>
      </c>
    </row>
    <row r="4" spans="1:43" s="14" customFormat="1" x14ac:dyDescent="0.2">
      <c r="B4" s="14" t="s">
        <v>9</v>
      </c>
      <c r="C4" s="15">
        <v>0.2</v>
      </c>
      <c r="D4" s="15">
        <v>34.5</v>
      </c>
      <c r="E4" s="15">
        <v>57.2</v>
      </c>
      <c r="F4" s="15">
        <v>61.8</v>
      </c>
      <c r="G4" s="15">
        <v>69</v>
      </c>
      <c r="H4" s="15">
        <v>69.75</v>
      </c>
      <c r="I4" s="15">
        <v>82.4</v>
      </c>
      <c r="J4" s="15">
        <v>95</v>
      </c>
      <c r="K4" s="15">
        <v>92.7</v>
      </c>
      <c r="L4" s="15">
        <v>100.2</v>
      </c>
      <c r="M4" s="15">
        <v>123.6</v>
      </c>
      <c r="N4" s="15">
        <v>105</v>
      </c>
      <c r="O4" s="15">
        <f t="shared" ref="O4:O7" si="3">+K4*1.1</f>
        <v>101.97000000000001</v>
      </c>
      <c r="P4" s="15">
        <f t="shared" si="1"/>
        <v>110.22000000000001</v>
      </c>
      <c r="Q4" s="15">
        <f t="shared" si="1"/>
        <v>135.96</v>
      </c>
      <c r="R4" s="15">
        <f t="shared" si="1"/>
        <v>115.50000000000001</v>
      </c>
      <c r="S4" s="15">
        <f t="shared" si="1"/>
        <v>112.16700000000003</v>
      </c>
      <c r="W4" s="14">
        <v>0</v>
      </c>
      <c r="X4" s="14">
        <v>0</v>
      </c>
      <c r="Y4" s="14">
        <v>0</v>
      </c>
      <c r="Z4" s="14">
        <v>0</v>
      </c>
      <c r="AA4" s="14">
        <v>0.24399999999999999</v>
      </c>
      <c r="AB4" s="14">
        <f t="shared" ref="AB4:AB8" si="4">SUM(D4:G4)</f>
        <v>222.5</v>
      </c>
      <c r="AC4" s="14">
        <f t="shared" ref="AC4:AC8" si="5">SUM(H4:K4)</f>
        <v>339.85</v>
      </c>
      <c r="AD4" s="14">
        <f t="shared" ref="AD4:AD8" si="6">SUM(L4:O4)</f>
        <v>430.77000000000004</v>
      </c>
      <c r="AE4" s="14">
        <f t="shared" ref="AE4:AE10" si="7">SUM(P4:S4)</f>
        <v>473.84700000000004</v>
      </c>
      <c r="AF4" s="14">
        <f>+AE4*1.2</f>
        <v>568.6164</v>
      </c>
      <c r="AG4" s="14">
        <f>+AF4*1.2</f>
        <v>682.33967999999993</v>
      </c>
      <c r="AH4" s="14">
        <f>+AG4*1.15</f>
        <v>784.69063199999982</v>
      </c>
      <c r="AI4" s="14">
        <f>+AH4*1.1</f>
        <v>863.15969519999987</v>
      </c>
      <c r="AJ4" s="14">
        <f>+AI4*1.03</f>
        <v>889.05448605599986</v>
      </c>
      <c r="AK4" s="14">
        <f t="shared" ref="AK4:AL4" si="8">+AJ4*1.03</f>
        <v>915.72612063767986</v>
      </c>
      <c r="AL4" s="14">
        <f t="shared" si="8"/>
        <v>943.19790425681026</v>
      </c>
    </row>
    <row r="5" spans="1:43" s="14" customFormat="1" x14ac:dyDescent="0.2">
      <c r="B5" s="14" t="s">
        <v>10</v>
      </c>
      <c r="C5" s="15">
        <v>0</v>
      </c>
      <c r="D5" s="15">
        <v>0</v>
      </c>
      <c r="E5" s="15">
        <v>15.8</v>
      </c>
      <c r="F5" s="15">
        <v>42.4</v>
      </c>
      <c r="G5" s="15">
        <v>61.4</v>
      </c>
      <c r="H5" s="15">
        <v>70.3</v>
      </c>
      <c r="I5" s="15">
        <v>83</v>
      </c>
      <c r="J5" s="15">
        <v>86.6</v>
      </c>
      <c r="K5" s="15">
        <v>94.1</v>
      </c>
      <c r="L5" s="15">
        <v>90.5</v>
      </c>
      <c r="M5" s="15">
        <v>89</v>
      </c>
      <c r="N5" s="15">
        <v>88</v>
      </c>
      <c r="O5" s="15">
        <f>+K5*1.01</f>
        <v>95.040999999999997</v>
      </c>
      <c r="P5" s="15">
        <f t="shared" ref="P5:S5" si="9">+L5*1.01</f>
        <v>91.405000000000001</v>
      </c>
      <c r="Q5" s="15">
        <f t="shared" si="9"/>
        <v>89.89</v>
      </c>
      <c r="R5" s="15">
        <f t="shared" si="9"/>
        <v>88.88</v>
      </c>
      <c r="S5" s="15">
        <f t="shared" si="9"/>
        <v>95.991410000000002</v>
      </c>
      <c r="W5" s="14">
        <v>0</v>
      </c>
      <c r="X5" s="14">
        <v>0</v>
      </c>
      <c r="Y5" s="14">
        <v>0</v>
      </c>
      <c r="Z5" s="14">
        <v>0</v>
      </c>
      <c r="AA5" s="14">
        <v>0</v>
      </c>
      <c r="AB5" s="14">
        <f t="shared" si="4"/>
        <v>119.6</v>
      </c>
      <c r="AC5" s="14">
        <f t="shared" si="5"/>
        <v>334</v>
      </c>
      <c r="AD5" s="14">
        <f t="shared" si="6"/>
        <v>362.541</v>
      </c>
      <c r="AE5" s="14">
        <f t="shared" si="7"/>
        <v>366.16641000000004</v>
      </c>
      <c r="AF5" s="14">
        <f t="shared" ref="AF5:AL5" si="10">+AE5*1.05</f>
        <v>384.47473050000008</v>
      </c>
      <c r="AG5" s="14">
        <f t="shared" si="10"/>
        <v>403.69846702500013</v>
      </c>
      <c r="AH5" s="14">
        <f t="shared" si="10"/>
        <v>423.88339037625013</v>
      </c>
      <c r="AI5" s="14">
        <f t="shared" si="10"/>
        <v>445.07755989506268</v>
      </c>
      <c r="AJ5" s="14">
        <f t="shared" si="10"/>
        <v>467.33143788981585</v>
      </c>
      <c r="AK5" s="14">
        <f t="shared" si="10"/>
        <v>490.69800978430663</v>
      </c>
      <c r="AL5" s="14">
        <f t="shared" si="10"/>
        <v>515.23291027352195</v>
      </c>
    </row>
    <row r="6" spans="1:43" s="14" customFormat="1" x14ac:dyDescent="0.2">
      <c r="B6" s="14" t="s">
        <v>11</v>
      </c>
      <c r="C6" s="15">
        <v>0</v>
      </c>
      <c r="D6" s="15">
        <v>0</v>
      </c>
      <c r="E6" s="15">
        <v>0</v>
      </c>
      <c r="F6" s="15">
        <v>0</v>
      </c>
      <c r="G6" s="15">
        <v>0</v>
      </c>
      <c r="H6" s="15">
        <v>0</v>
      </c>
      <c r="I6" s="15">
        <v>0</v>
      </c>
      <c r="J6" s="15">
        <v>0.1</v>
      </c>
      <c r="K6" s="15">
        <v>6.1</v>
      </c>
      <c r="L6" s="15">
        <v>11.4</v>
      </c>
      <c r="M6" s="15">
        <v>17.2</v>
      </c>
      <c r="N6" s="15">
        <v>16</v>
      </c>
      <c r="O6" s="15">
        <f>+N6+5</f>
        <v>21</v>
      </c>
      <c r="P6" s="15">
        <f t="shared" ref="P6:S6" si="11">+O6+5</f>
        <v>26</v>
      </c>
      <c r="Q6" s="15">
        <f t="shared" si="11"/>
        <v>31</v>
      </c>
      <c r="R6" s="15">
        <f t="shared" si="11"/>
        <v>36</v>
      </c>
      <c r="S6" s="15">
        <f t="shared" si="11"/>
        <v>41</v>
      </c>
      <c r="W6" s="14">
        <v>0</v>
      </c>
      <c r="X6" s="14">
        <v>0</v>
      </c>
      <c r="Y6" s="14">
        <v>0</v>
      </c>
      <c r="Z6" s="14">
        <v>0</v>
      </c>
      <c r="AA6" s="14">
        <v>0</v>
      </c>
      <c r="AB6" s="14">
        <f t="shared" si="4"/>
        <v>0</v>
      </c>
      <c r="AC6" s="14">
        <f t="shared" si="5"/>
        <v>6.1999999999999993</v>
      </c>
      <c r="AD6" s="14">
        <f t="shared" si="6"/>
        <v>65.599999999999994</v>
      </c>
      <c r="AE6" s="14">
        <f t="shared" si="7"/>
        <v>134</v>
      </c>
      <c r="AF6" s="14">
        <f>+AE6*1.5</f>
        <v>201</v>
      </c>
      <c r="AG6" s="14">
        <f>+AF6*1.5</f>
        <v>301.5</v>
      </c>
      <c r="AH6" s="14">
        <f>+AG6*1.2</f>
        <v>361.8</v>
      </c>
      <c r="AI6" s="14">
        <f>+AH6*1.2</f>
        <v>434.16</v>
      </c>
      <c r="AJ6" s="14">
        <f>+AI6*1.05</f>
        <v>455.86800000000005</v>
      </c>
      <c r="AK6" s="14">
        <f>+AJ6*1.05</f>
        <v>478.66140000000007</v>
      </c>
      <c r="AL6" s="14">
        <f>+AK6*1.05</f>
        <v>502.59447000000011</v>
      </c>
    </row>
    <row r="7" spans="1:43" s="14" customFormat="1" x14ac:dyDescent="0.2">
      <c r="B7" s="14" t="s">
        <v>28</v>
      </c>
      <c r="C7" s="15">
        <v>72.272999999999996</v>
      </c>
      <c r="D7" s="15">
        <v>20.36</v>
      </c>
      <c r="E7" s="15">
        <v>31.234999999999999</v>
      </c>
      <c r="F7" s="23">
        <v>0</v>
      </c>
      <c r="G7" s="15">
        <v>39.200000000000003</v>
      </c>
      <c r="H7" s="15">
        <v>27.2</v>
      </c>
      <c r="I7" s="15">
        <v>36.295999999999999</v>
      </c>
      <c r="J7" s="15">
        <v>41.027999999999999</v>
      </c>
      <c r="K7" s="15">
        <v>46</v>
      </c>
      <c r="L7" s="15">
        <v>28.2</v>
      </c>
      <c r="M7" s="15">
        <v>39.1</v>
      </c>
      <c r="N7" s="15">
        <v>43.904000000000003</v>
      </c>
      <c r="O7" s="15">
        <f t="shared" si="3"/>
        <v>50.6</v>
      </c>
      <c r="P7" s="15">
        <f t="shared" ref="P7" si="12">+L7*1.1</f>
        <v>31.020000000000003</v>
      </c>
      <c r="Q7" s="15">
        <f t="shared" ref="Q7" si="13">+M7*1.1</f>
        <v>43.010000000000005</v>
      </c>
      <c r="R7" s="15">
        <f t="shared" ref="R7" si="14">+N7*1.1</f>
        <v>48.29440000000001</v>
      </c>
      <c r="S7" s="15">
        <f t="shared" ref="S7" si="15">+O7*1.1</f>
        <v>55.660000000000004</v>
      </c>
      <c r="W7" s="14">
        <v>40.98</v>
      </c>
      <c r="X7" s="14">
        <v>67.454999999999998</v>
      </c>
      <c r="Y7" s="14">
        <v>66.055999999999997</v>
      </c>
      <c r="Z7" s="14">
        <v>83.44</v>
      </c>
      <c r="AA7" s="14">
        <v>138.49100000000001</v>
      </c>
      <c r="AB7" s="14">
        <f t="shared" si="4"/>
        <v>90.795000000000002</v>
      </c>
      <c r="AC7" s="14">
        <f t="shared" si="5"/>
        <v>150.524</v>
      </c>
      <c r="AD7" s="14">
        <f t="shared" si="6"/>
        <v>161.804</v>
      </c>
      <c r="AE7" s="14">
        <f t="shared" si="7"/>
        <v>177.98440000000002</v>
      </c>
      <c r="AF7" s="14">
        <f t="shared" ref="AF7:AL7" si="16">+AE7*1.03</f>
        <v>183.32393200000001</v>
      </c>
      <c r="AG7" s="14">
        <f t="shared" si="16"/>
        <v>188.82364996000001</v>
      </c>
      <c r="AH7" s="14">
        <f t="shared" si="16"/>
        <v>194.48835945880001</v>
      </c>
      <c r="AI7" s="14">
        <f t="shared" si="16"/>
        <v>200.32301024256401</v>
      </c>
      <c r="AJ7" s="14">
        <f t="shared" si="16"/>
        <v>206.33270054984092</v>
      </c>
      <c r="AK7" s="14">
        <f t="shared" si="16"/>
        <v>212.52268156633616</v>
      </c>
      <c r="AL7" s="14">
        <f t="shared" si="16"/>
        <v>218.89836201332625</v>
      </c>
    </row>
    <row r="8" spans="1:43" s="14" customFormat="1" x14ac:dyDescent="0.2">
      <c r="B8" s="14" t="s">
        <v>29</v>
      </c>
      <c r="C8" s="20" t="s">
        <v>53</v>
      </c>
      <c r="D8" s="20" t="s">
        <v>51</v>
      </c>
      <c r="E8" s="20" t="s">
        <v>50</v>
      </c>
      <c r="F8" s="20">
        <v>0</v>
      </c>
      <c r="G8" s="20" t="s">
        <v>43</v>
      </c>
      <c r="H8" s="20" t="s">
        <v>47</v>
      </c>
      <c r="I8" s="20" t="s">
        <v>48</v>
      </c>
      <c r="J8" s="20" t="s">
        <v>49</v>
      </c>
      <c r="K8" s="20" t="s">
        <v>44</v>
      </c>
      <c r="L8" s="20" t="s">
        <v>45</v>
      </c>
      <c r="M8" s="20" t="s">
        <v>46</v>
      </c>
      <c r="N8" s="15">
        <v>38.307000000000002</v>
      </c>
      <c r="O8" s="15">
        <f>AVERAGE(K8:N8)</f>
        <v>38.307000000000002</v>
      </c>
      <c r="P8" s="15">
        <f t="shared" ref="P8:S8" si="17">AVERAGE(L8:O8)</f>
        <v>38.307000000000002</v>
      </c>
      <c r="Q8" s="15">
        <f t="shared" si="17"/>
        <v>38.307000000000002</v>
      </c>
      <c r="R8" s="15">
        <f t="shared" si="17"/>
        <v>38.307000000000002</v>
      </c>
      <c r="S8" s="15">
        <f t="shared" si="17"/>
        <v>38.307000000000002</v>
      </c>
      <c r="W8" s="14">
        <v>69.77</v>
      </c>
      <c r="X8" s="14">
        <v>84.926000000000002</v>
      </c>
      <c r="Y8" s="14">
        <v>108.63200000000001</v>
      </c>
      <c r="Z8" s="14">
        <v>94.356999999999999</v>
      </c>
      <c r="AA8" s="14">
        <v>150.245</v>
      </c>
      <c r="AB8" s="14">
        <f t="shared" si="4"/>
        <v>0</v>
      </c>
      <c r="AC8" s="14">
        <f t="shared" si="5"/>
        <v>0</v>
      </c>
      <c r="AD8" s="14">
        <f t="shared" si="6"/>
        <v>76.614000000000004</v>
      </c>
      <c r="AE8" s="14">
        <f t="shared" si="7"/>
        <v>153.22800000000001</v>
      </c>
      <c r="AF8" s="14">
        <v>0</v>
      </c>
      <c r="AG8" s="14">
        <v>0</v>
      </c>
      <c r="AH8" s="14">
        <v>0</v>
      </c>
      <c r="AI8" s="14">
        <v>0</v>
      </c>
      <c r="AJ8" s="14">
        <v>0</v>
      </c>
      <c r="AK8" s="14">
        <v>0</v>
      </c>
      <c r="AL8" s="14">
        <v>0</v>
      </c>
    </row>
    <row r="9" spans="1:43" s="16" customFormat="1" x14ac:dyDescent="0.2">
      <c r="B9" s="16" t="s">
        <v>27</v>
      </c>
      <c r="C9" s="17">
        <f t="shared" ref="C9:M9" si="18">SUM(C3:C8)</f>
        <v>238.67299999999997</v>
      </c>
      <c r="D9" s="17">
        <f t="shared" si="18"/>
        <v>218.95999999999998</v>
      </c>
      <c r="E9" s="17">
        <f t="shared" si="18"/>
        <v>271.73500000000001</v>
      </c>
      <c r="F9" s="17">
        <f t="shared" si="18"/>
        <v>267.5</v>
      </c>
      <c r="G9" s="17">
        <f t="shared" si="18"/>
        <v>333.29999999999995</v>
      </c>
      <c r="H9" s="17">
        <f t="shared" si="18"/>
        <v>329.8</v>
      </c>
      <c r="I9" s="17">
        <f t="shared" si="18"/>
        <v>383.596</v>
      </c>
      <c r="J9" s="17">
        <f t="shared" si="18"/>
        <v>407.52800000000002</v>
      </c>
      <c r="K9" s="17">
        <f t="shared" si="18"/>
        <v>415.20000000000005</v>
      </c>
      <c r="L9" s="17">
        <f t="shared" si="18"/>
        <v>411.29999999999995</v>
      </c>
      <c r="M9" s="17">
        <f t="shared" si="18"/>
        <v>470.8</v>
      </c>
      <c r="N9" s="17">
        <f t="shared" ref="N9:S9" si="19">SUM(N3:N8)</f>
        <v>510.3</v>
      </c>
      <c r="O9" s="17">
        <f t="shared" si="19"/>
        <v>500.84800000000007</v>
      </c>
      <c r="P9" s="17">
        <f t="shared" si="19"/>
        <v>496.05200000000002</v>
      </c>
      <c r="Q9" s="17">
        <f t="shared" si="19"/>
        <v>560.25700000000006</v>
      </c>
      <c r="R9" s="17">
        <f t="shared" si="19"/>
        <v>567.97930000000008</v>
      </c>
      <c r="S9" s="17">
        <f t="shared" si="19"/>
        <v>556.44841000000008</v>
      </c>
      <c r="W9" s="16">
        <f t="shared" ref="W9" si="20">SUM(W3:W8)</f>
        <v>336.80199999999996</v>
      </c>
      <c r="X9" s="16">
        <f t="shared" ref="X9:AA9" si="21">SUM(X3:X8)</f>
        <v>418.14699999999999</v>
      </c>
      <c r="Y9" s="16">
        <f t="shared" si="21"/>
        <v>482.25</v>
      </c>
      <c r="Z9" s="16">
        <f t="shared" si="21"/>
        <v>654.70000000000005</v>
      </c>
      <c r="AA9" s="16">
        <f t="shared" si="21"/>
        <v>916.71299999999997</v>
      </c>
      <c r="AB9" s="16">
        <f>SUM(AB3:AB8)</f>
        <v>1091.4950000000001</v>
      </c>
      <c r="AC9" s="16">
        <f>SUM(AC3:AC8)</f>
        <v>1536.1240000000003</v>
      </c>
      <c r="AD9" s="16">
        <f>SUM(AD3:AD8)</f>
        <v>1893.248</v>
      </c>
      <c r="AE9" s="16">
        <f t="shared" ref="AE9:AL9" si="22">SUM(AE3:AE8)</f>
        <v>2180.7367100000001</v>
      </c>
      <c r="AF9" s="16">
        <f t="shared" si="22"/>
        <v>2239.1912895000005</v>
      </c>
      <c r="AG9" s="16">
        <f t="shared" si="22"/>
        <v>2505.1913107950004</v>
      </c>
      <c r="AH9" s="16">
        <f t="shared" si="22"/>
        <v>2721.5567810593507</v>
      </c>
      <c r="AI9" s="16">
        <f t="shared" si="22"/>
        <v>2928.1154965386559</v>
      </c>
      <c r="AJ9" s="16">
        <f t="shared" si="22"/>
        <v>3033.543712632717</v>
      </c>
      <c r="AK9" s="16">
        <f t="shared" si="22"/>
        <v>3143.0140127694949</v>
      </c>
      <c r="AL9" s="16">
        <f t="shared" si="22"/>
        <v>3256.6916213482659</v>
      </c>
    </row>
    <row r="10" spans="1:43" s="14" customFormat="1" x14ac:dyDescent="0.2">
      <c r="B10" s="14" t="s">
        <v>30</v>
      </c>
      <c r="C10" s="15">
        <v>11.928000000000001</v>
      </c>
      <c r="D10" s="15">
        <v>29.420999999999999</v>
      </c>
      <c r="E10" s="15">
        <v>48.244</v>
      </c>
      <c r="F10" s="15">
        <v>61.8</v>
      </c>
      <c r="G10" s="15">
        <v>61.8</v>
      </c>
      <c r="H10" s="15">
        <v>64.135000000000005</v>
      </c>
      <c r="I10" s="15">
        <v>78.09</v>
      </c>
      <c r="J10" s="15">
        <v>82.65</v>
      </c>
      <c r="K10" s="15">
        <v>86.7</v>
      </c>
      <c r="L10" s="15">
        <v>87.626000000000005</v>
      </c>
      <c r="M10" s="15">
        <v>106.1</v>
      </c>
      <c r="N10" s="15">
        <v>108.122</v>
      </c>
      <c r="O10" s="15">
        <f>+O9-O11</f>
        <v>105.17808000000002</v>
      </c>
      <c r="P10" s="15">
        <f t="shared" ref="P10:S10" si="23">+P9-P11</f>
        <v>104.17091999999997</v>
      </c>
      <c r="Q10" s="15">
        <f t="shared" si="23"/>
        <v>117.65397000000002</v>
      </c>
      <c r="R10" s="15">
        <f t="shared" si="23"/>
        <v>119.27565299999998</v>
      </c>
      <c r="S10" s="15">
        <f t="shared" si="23"/>
        <v>116.85416609999999</v>
      </c>
      <c r="Y10" s="14">
        <f>34.768+19.35</f>
        <v>54.118000000000002</v>
      </c>
      <c r="Z10" s="14">
        <f>66.085+22.208</f>
        <v>88.292999999999992</v>
      </c>
      <c r="AA10" s="14">
        <f>34.882+9.07</f>
        <v>43.951999999999998</v>
      </c>
      <c r="AB10" s="14">
        <f t="shared" ref="AB10" si="24">SUM(D10:G10)</f>
        <v>201.26499999999999</v>
      </c>
      <c r="AC10" s="14">
        <f t="shared" ref="AC10" si="25">SUM(H10:K10)</f>
        <v>311.57500000000005</v>
      </c>
      <c r="AD10" s="14">
        <f t="shared" ref="AD10" si="26">SUM(L10:O10)</f>
        <v>407.02608000000004</v>
      </c>
      <c r="AE10" s="14">
        <f t="shared" si="7"/>
        <v>457.95470909999995</v>
      </c>
      <c r="AF10" s="14">
        <f t="shared" ref="AF10:AL10" si="27">+AF9-AF11</f>
        <v>447.83825789999992</v>
      </c>
      <c r="AG10" s="14">
        <f t="shared" si="27"/>
        <v>501.03826215899994</v>
      </c>
      <c r="AH10" s="14">
        <f t="shared" si="27"/>
        <v>544.31135621187013</v>
      </c>
      <c r="AI10" s="14">
        <f t="shared" si="27"/>
        <v>585.62309930773108</v>
      </c>
      <c r="AJ10" s="14">
        <f t="shared" si="27"/>
        <v>606.70874252654312</v>
      </c>
      <c r="AK10" s="14">
        <f t="shared" si="27"/>
        <v>628.60280255389898</v>
      </c>
      <c r="AL10" s="14">
        <f t="shared" si="27"/>
        <v>651.33832426965319</v>
      </c>
    </row>
    <row r="11" spans="1:43" s="14" customFormat="1" x14ac:dyDescent="0.2">
      <c r="B11" s="14" t="s">
        <v>31</v>
      </c>
      <c r="C11" s="15">
        <f t="shared" ref="C11:M11" si="28">+C9-C10</f>
        <v>226.74499999999998</v>
      </c>
      <c r="D11" s="15">
        <f t="shared" si="28"/>
        <v>189.53899999999999</v>
      </c>
      <c r="E11" s="15">
        <f t="shared" si="28"/>
        <v>223.49100000000001</v>
      </c>
      <c r="F11" s="15">
        <f t="shared" si="28"/>
        <v>205.7</v>
      </c>
      <c r="G11" s="15">
        <f t="shared" si="28"/>
        <v>271.49999999999994</v>
      </c>
      <c r="H11" s="15">
        <f t="shared" si="28"/>
        <v>265.66500000000002</v>
      </c>
      <c r="I11" s="15">
        <f t="shared" si="28"/>
        <v>305.50599999999997</v>
      </c>
      <c r="J11" s="15">
        <f t="shared" si="28"/>
        <v>324.87800000000004</v>
      </c>
      <c r="K11" s="15">
        <f t="shared" si="28"/>
        <v>328.50000000000006</v>
      </c>
      <c r="L11" s="15">
        <f t="shared" si="28"/>
        <v>323.67399999999998</v>
      </c>
      <c r="M11" s="15">
        <f t="shared" si="28"/>
        <v>364.70000000000005</v>
      </c>
      <c r="N11" s="15">
        <f>+N9-N10</f>
        <v>402.178</v>
      </c>
      <c r="O11" s="15">
        <f>+O9*0.79</f>
        <v>395.66992000000005</v>
      </c>
      <c r="P11" s="15">
        <f t="shared" ref="P11:S11" si="29">+P9*0.79</f>
        <v>391.88108000000005</v>
      </c>
      <c r="Q11" s="15">
        <f t="shared" si="29"/>
        <v>442.60303000000005</v>
      </c>
      <c r="R11" s="15">
        <f t="shared" si="29"/>
        <v>448.7036470000001</v>
      </c>
      <c r="S11" s="15">
        <f t="shared" si="29"/>
        <v>439.59424390000009</v>
      </c>
      <c r="W11" s="14">
        <f t="shared" ref="W11:AA11" si="30">+W9-W10</f>
        <v>336.80199999999996</v>
      </c>
      <c r="X11" s="14">
        <f t="shared" si="30"/>
        <v>418.14699999999999</v>
      </c>
      <c r="Y11" s="14">
        <f t="shared" si="30"/>
        <v>428.13200000000001</v>
      </c>
      <c r="Z11" s="14">
        <f t="shared" si="30"/>
        <v>566.40700000000004</v>
      </c>
      <c r="AA11" s="14">
        <f t="shared" si="30"/>
        <v>872.76099999999997</v>
      </c>
      <c r="AB11" s="14">
        <f>+AB9-AB10</f>
        <v>890.23000000000013</v>
      </c>
      <c r="AC11" s="14">
        <f t="shared" ref="AC11:AD11" si="31">+AC9-AC10</f>
        <v>1224.5490000000002</v>
      </c>
      <c r="AD11" s="14">
        <f t="shared" si="31"/>
        <v>1486.22192</v>
      </c>
      <c r="AE11" s="14">
        <f>+AE9-AE10</f>
        <v>1722.7820009000002</v>
      </c>
      <c r="AF11" s="14">
        <f t="shared" ref="AF11:AL11" si="32">+AF9*0.8</f>
        <v>1791.3530316000006</v>
      </c>
      <c r="AG11" s="14">
        <f t="shared" si="32"/>
        <v>2004.1530486360004</v>
      </c>
      <c r="AH11" s="14">
        <f t="shared" si="32"/>
        <v>2177.2454248474805</v>
      </c>
      <c r="AI11" s="14">
        <f t="shared" si="32"/>
        <v>2342.4923972309248</v>
      </c>
      <c r="AJ11" s="14">
        <f t="shared" si="32"/>
        <v>2426.8349701061738</v>
      </c>
      <c r="AK11" s="14">
        <f t="shared" si="32"/>
        <v>2514.4112102155959</v>
      </c>
      <c r="AL11" s="14">
        <f t="shared" si="32"/>
        <v>2605.3532970786127</v>
      </c>
    </row>
    <row r="12" spans="1:43" s="14" customFormat="1" x14ac:dyDescent="0.2">
      <c r="B12" s="14" t="s">
        <v>32</v>
      </c>
      <c r="C12" s="15">
        <v>201.06100000000001</v>
      </c>
      <c r="D12" s="15">
        <v>195.19900000000001</v>
      </c>
      <c r="E12" s="15">
        <v>198.077</v>
      </c>
      <c r="F12" s="15">
        <v>217.67</v>
      </c>
      <c r="G12" s="15">
        <v>216.184</v>
      </c>
      <c r="H12" s="15">
        <v>230.42599999999999</v>
      </c>
      <c r="I12" s="15">
        <v>234.86099999999999</v>
      </c>
      <c r="J12" s="15">
        <v>459.09199999999998</v>
      </c>
      <c r="K12" s="15">
        <v>304.3</v>
      </c>
      <c r="L12" s="15">
        <v>297.65899999999999</v>
      </c>
      <c r="M12" s="15">
        <v>304.25400000000002</v>
      </c>
      <c r="N12" s="15">
        <v>384.60500000000002</v>
      </c>
      <c r="O12" s="15"/>
      <c r="P12" s="15"/>
      <c r="Q12" s="15"/>
      <c r="R12" s="15"/>
      <c r="Y12" s="14">
        <v>456.7</v>
      </c>
      <c r="Z12" s="14">
        <v>565.30899999999997</v>
      </c>
      <c r="AA12" s="14">
        <v>719.37400000000002</v>
      </c>
      <c r="AB12" s="14">
        <f t="shared" ref="AB12:AB13" si="33">SUM(D12:G12)</f>
        <v>827.13</v>
      </c>
      <c r="AC12" s="14">
        <f t="shared" ref="AC12:AC13" si="34">SUM(H12:K12)</f>
        <v>1228.6789999999999</v>
      </c>
      <c r="AD12" s="14">
        <f t="shared" ref="AD12:AD13" si="35">SUM(L12:O12)</f>
        <v>986.51800000000003</v>
      </c>
    </row>
    <row r="13" spans="1:43" s="14" customFormat="1" x14ac:dyDescent="0.2">
      <c r="B13" s="14" t="s">
        <v>33</v>
      </c>
      <c r="C13" s="15">
        <v>115.229</v>
      </c>
      <c r="D13" s="15">
        <v>122.249</v>
      </c>
      <c r="E13" s="15">
        <v>125.642</v>
      </c>
      <c r="F13" s="15">
        <v>127.57899999999999</v>
      </c>
      <c r="G13" s="15">
        <v>158.36500000000001</v>
      </c>
      <c r="H13" s="15">
        <v>159.84200000000001</v>
      </c>
      <c r="I13" s="15">
        <v>165.13</v>
      </c>
      <c r="J13" s="15">
        <v>180.28100000000001</v>
      </c>
      <c r="K13" s="15">
        <v>210.9</v>
      </c>
      <c r="L13" s="15">
        <v>174.22499999999999</v>
      </c>
      <c r="M13" s="15">
        <v>220.25899999999999</v>
      </c>
      <c r="N13" s="15">
        <v>210.37799999999999</v>
      </c>
      <c r="O13" s="15">
        <f>+K13*1.05</f>
        <v>221.44500000000002</v>
      </c>
      <c r="P13" s="15">
        <f t="shared" ref="P13:S13" si="36">+L13*1.05</f>
        <v>182.93625</v>
      </c>
      <c r="Q13" s="15">
        <f t="shared" si="36"/>
        <v>231.27195</v>
      </c>
      <c r="R13" s="15">
        <f t="shared" si="36"/>
        <v>220.89689999999999</v>
      </c>
      <c r="S13" s="15">
        <f t="shared" si="36"/>
        <v>232.51725000000002</v>
      </c>
      <c r="Y13" s="14">
        <v>167.233</v>
      </c>
      <c r="Z13" s="14">
        <v>261.096</v>
      </c>
      <c r="AA13" s="14">
        <v>373.93200000000002</v>
      </c>
      <c r="AB13" s="14">
        <f t="shared" si="33"/>
        <v>533.83500000000004</v>
      </c>
      <c r="AC13" s="14">
        <f t="shared" si="34"/>
        <v>716.15300000000002</v>
      </c>
      <c r="AD13" s="14">
        <f t="shared" si="35"/>
        <v>826.30700000000002</v>
      </c>
      <c r="AE13" s="14">
        <v>400</v>
      </c>
      <c r="AF13" s="14">
        <f>+AE13*1.03</f>
        <v>412</v>
      </c>
      <c r="AG13" s="14">
        <f t="shared" ref="AG13:AL13" si="37">+AF13*1.03</f>
        <v>424.36</v>
      </c>
      <c r="AH13" s="14">
        <f t="shared" si="37"/>
        <v>437.0908</v>
      </c>
      <c r="AI13" s="14">
        <f t="shared" si="37"/>
        <v>450.20352400000002</v>
      </c>
      <c r="AJ13" s="14">
        <f t="shared" si="37"/>
        <v>463.70962972000001</v>
      </c>
      <c r="AK13" s="14">
        <f t="shared" si="37"/>
        <v>477.62091861160002</v>
      </c>
      <c r="AL13" s="14">
        <f t="shared" si="37"/>
        <v>491.94954616994801</v>
      </c>
    </row>
    <row r="14" spans="1:43" s="14" customFormat="1" x14ac:dyDescent="0.2">
      <c r="B14" s="14" t="s">
        <v>34</v>
      </c>
      <c r="C14" s="15">
        <f t="shared" ref="C14:M14" si="38">+C12+C13</f>
        <v>316.29000000000002</v>
      </c>
      <c r="D14" s="15">
        <f t="shared" si="38"/>
        <v>317.44799999999998</v>
      </c>
      <c r="E14" s="15">
        <f t="shared" si="38"/>
        <v>323.71899999999999</v>
      </c>
      <c r="F14" s="15">
        <f t="shared" si="38"/>
        <v>345.24899999999997</v>
      </c>
      <c r="G14" s="15">
        <f t="shared" si="38"/>
        <v>374.54899999999998</v>
      </c>
      <c r="H14" s="15">
        <f t="shared" si="38"/>
        <v>390.26800000000003</v>
      </c>
      <c r="I14" s="15">
        <f t="shared" si="38"/>
        <v>399.99099999999999</v>
      </c>
      <c r="J14" s="15">
        <f t="shared" si="38"/>
        <v>639.37300000000005</v>
      </c>
      <c r="K14" s="15">
        <f t="shared" si="38"/>
        <v>515.20000000000005</v>
      </c>
      <c r="L14" s="15">
        <f t="shared" si="38"/>
        <v>471.88400000000001</v>
      </c>
      <c r="M14" s="15">
        <f t="shared" si="38"/>
        <v>524.51300000000003</v>
      </c>
      <c r="N14" s="15">
        <f>+N12+N13</f>
        <v>594.98299999999995</v>
      </c>
      <c r="O14" s="15">
        <f t="shared" ref="O14" si="39">+O12+O13</f>
        <v>221.44500000000002</v>
      </c>
      <c r="P14" s="15">
        <f t="shared" ref="P14:S14" si="40">+P12+P13</f>
        <v>182.93625</v>
      </c>
      <c r="Q14" s="15">
        <f t="shared" si="40"/>
        <v>231.27195</v>
      </c>
      <c r="R14" s="15">
        <f t="shared" si="40"/>
        <v>220.89689999999999</v>
      </c>
      <c r="S14" s="15">
        <f t="shared" si="40"/>
        <v>232.51725000000002</v>
      </c>
      <c r="W14" s="15">
        <f t="shared" ref="W14:AA14" si="41">+W12+W13</f>
        <v>0</v>
      </c>
      <c r="X14" s="15">
        <f t="shared" si="41"/>
        <v>0</v>
      </c>
      <c r="Y14" s="15">
        <f t="shared" si="41"/>
        <v>623.93299999999999</v>
      </c>
      <c r="Z14" s="15">
        <f t="shared" si="41"/>
        <v>826.40499999999997</v>
      </c>
      <c r="AA14" s="15">
        <f t="shared" si="41"/>
        <v>1093.306</v>
      </c>
      <c r="AB14" s="15">
        <f t="shared" ref="AB14" si="42">+AB12+AB13</f>
        <v>1360.9650000000001</v>
      </c>
      <c r="AC14" s="15">
        <f t="shared" ref="AC14" si="43">+AC12+AC13</f>
        <v>1944.8319999999999</v>
      </c>
      <c r="AD14" s="15">
        <f>+AD12+AD13</f>
        <v>1812.825</v>
      </c>
      <c r="AE14" s="15">
        <f>+AE12+AE13</f>
        <v>400</v>
      </c>
      <c r="AF14" s="15">
        <f t="shared" ref="AF14" si="44">+AF12+AF13</f>
        <v>412</v>
      </c>
      <c r="AG14" s="15">
        <f t="shared" ref="AG14" si="45">+AG12+AG13</f>
        <v>424.36</v>
      </c>
      <c r="AH14" s="15">
        <f t="shared" ref="AH14" si="46">+AH12+AH13</f>
        <v>437.0908</v>
      </c>
      <c r="AI14" s="15">
        <f t="shared" ref="AI14" si="47">+AI12+AI13</f>
        <v>450.20352400000002</v>
      </c>
      <c r="AJ14" s="15">
        <f t="shared" ref="AJ14" si="48">+AJ12+AJ13</f>
        <v>463.70962972000001</v>
      </c>
      <c r="AK14" s="15">
        <f t="shared" ref="AK14" si="49">+AK12+AK13</f>
        <v>477.62091861160002</v>
      </c>
      <c r="AL14" s="15">
        <f t="shared" ref="AL14" si="50">+AL12+AL13</f>
        <v>491.94954616994801</v>
      </c>
    </row>
    <row r="15" spans="1:43" s="14" customFormat="1" x14ac:dyDescent="0.2">
      <c r="B15" s="14" t="s">
        <v>35</v>
      </c>
      <c r="C15" s="15">
        <f t="shared" ref="C15:M15" si="51">+C11-C14</f>
        <v>-89.545000000000044</v>
      </c>
      <c r="D15" s="15">
        <f t="shared" si="51"/>
        <v>-127.90899999999999</v>
      </c>
      <c r="E15" s="15">
        <f t="shared" si="51"/>
        <v>-100.22799999999998</v>
      </c>
      <c r="F15" s="15">
        <f t="shared" si="51"/>
        <v>-139.54899999999998</v>
      </c>
      <c r="G15" s="15">
        <f t="shared" si="51"/>
        <v>-103.04900000000004</v>
      </c>
      <c r="H15" s="15">
        <f t="shared" si="51"/>
        <v>-124.60300000000001</v>
      </c>
      <c r="I15" s="15">
        <f t="shared" si="51"/>
        <v>-94.485000000000014</v>
      </c>
      <c r="J15" s="15">
        <f t="shared" si="51"/>
        <v>-314.495</v>
      </c>
      <c r="K15" s="15">
        <f t="shared" si="51"/>
        <v>-186.7</v>
      </c>
      <c r="L15" s="15">
        <f t="shared" si="51"/>
        <v>-148.21000000000004</v>
      </c>
      <c r="M15" s="15">
        <f t="shared" si="51"/>
        <v>-159.81299999999999</v>
      </c>
      <c r="N15" s="15">
        <f>+N11-N14</f>
        <v>-192.80499999999995</v>
      </c>
      <c r="O15" s="15">
        <f t="shared" ref="O15" si="52">+O11-O14</f>
        <v>174.22492000000003</v>
      </c>
      <c r="P15" s="15">
        <f t="shared" ref="P15:S15" si="53">+P11-P14</f>
        <v>208.94483000000005</v>
      </c>
      <c r="Q15" s="15">
        <f t="shared" si="53"/>
        <v>211.33108000000004</v>
      </c>
      <c r="R15" s="15">
        <f t="shared" si="53"/>
        <v>227.80674700000012</v>
      </c>
      <c r="S15" s="15">
        <f t="shared" si="53"/>
        <v>207.07699390000008</v>
      </c>
      <c r="W15" s="15">
        <f t="shared" ref="W15:AA15" si="54">+W11-W14</f>
        <v>336.80199999999996</v>
      </c>
      <c r="X15" s="15">
        <f t="shared" si="54"/>
        <v>418.14699999999999</v>
      </c>
      <c r="Y15" s="15">
        <f t="shared" si="54"/>
        <v>-195.80099999999999</v>
      </c>
      <c r="Z15" s="15">
        <f t="shared" si="54"/>
        <v>-259.99799999999993</v>
      </c>
      <c r="AA15" s="15">
        <f t="shared" si="54"/>
        <v>-220.54500000000007</v>
      </c>
      <c r="AB15" s="15">
        <f t="shared" ref="AB15" si="55">+AB11-AB14</f>
        <v>-470.73500000000001</v>
      </c>
      <c r="AC15" s="15">
        <f t="shared" ref="AC15" si="56">+AC11-AC14</f>
        <v>-720.28299999999967</v>
      </c>
      <c r="AD15" s="15">
        <f>+AD11-AD14</f>
        <v>-326.60308000000009</v>
      </c>
      <c r="AE15" s="15">
        <f>+AE11-AE14</f>
        <v>1322.7820009000002</v>
      </c>
      <c r="AF15" s="15">
        <f t="shared" ref="AF15" si="57">+AF11-AF14</f>
        <v>1379.3530316000006</v>
      </c>
      <c r="AG15" s="15">
        <f t="shared" ref="AG15" si="58">+AG11-AG14</f>
        <v>1579.7930486360005</v>
      </c>
      <c r="AH15" s="15">
        <f t="shared" ref="AH15" si="59">+AH11-AH14</f>
        <v>1740.1546248474806</v>
      </c>
      <c r="AI15" s="15">
        <f t="shared" ref="AI15" si="60">+AI11-AI14</f>
        <v>1892.2888732309248</v>
      </c>
      <c r="AJ15" s="15">
        <f t="shared" ref="AJ15" si="61">+AJ11-AJ14</f>
        <v>1963.1253403861738</v>
      </c>
      <c r="AK15" s="15">
        <f t="shared" ref="AK15" si="62">+AK11-AK14</f>
        <v>2036.7902916039959</v>
      </c>
      <c r="AL15" s="15">
        <f t="shared" ref="AL15" si="63">+AL11-AL14</f>
        <v>2113.4037509086647</v>
      </c>
    </row>
    <row r="16" spans="1:43" s="14" customFormat="1" x14ac:dyDescent="0.2">
      <c r="B16" s="14" t="s">
        <v>36</v>
      </c>
      <c r="C16" s="15">
        <v>64.244</v>
      </c>
      <c r="D16" s="15">
        <v>-56.046999999999997</v>
      </c>
      <c r="E16" s="15">
        <v>72.775000000000006</v>
      </c>
      <c r="F16" s="15">
        <v>1.2230000000000001</v>
      </c>
      <c r="G16" s="15">
        <v>0.89800000000000002</v>
      </c>
      <c r="H16" s="15">
        <v>1</v>
      </c>
      <c r="I16" s="15">
        <v>5.0270000000000001</v>
      </c>
      <c r="J16" s="15">
        <v>5.2279999999999998</v>
      </c>
      <c r="K16" s="15">
        <v>-4.9000000000000004</v>
      </c>
      <c r="L16" s="15">
        <v>-2.19</v>
      </c>
      <c r="M16" s="15">
        <v>-1.609</v>
      </c>
      <c r="N16" s="15">
        <v>4.2779999999999996</v>
      </c>
      <c r="O16" s="15"/>
      <c r="P16" s="15"/>
      <c r="Q16" s="15"/>
      <c r="R16" s="15"/>
      <c r="Y16" s="14">
        <v>36.914000000000001</v>
      </c>
      <c r="Z16" s="14">
        <v>13.651999999999999</v>
      </c>
      <c r="AA16" s="14">
        <v>61.895000000000003</v>
      </c>
      <c r="AB16" s="14">
        <f t="shared" ref="AB16" si="64">SUM(D16:G16)</f>
        <v>18.849000000000007</v>
      </c>
      <c r="AC16" s="14">
        <f t="shared" ref="AC16" si="65">SUM(H16:K16)</f>
        <v>6.3549999999999986</v>
      </c>
      <c r="AD16" s="14">
        <f t="shared" ref="AD16" si="66">SUM(L16:O16)</f>
        <v>0.47899999999999965</v>
      </c>
      <c r="AE16" s="14">
        <f t="shared" ref="AE16:AL16" si="67">+AD27*$AO$25</f>
        <v>58.137807600000009</v>
      </c>
      <c r="AF16" s="14">
        <f t="shared" si="67"/>
        <v>91.279883004000013</v>
      </c>
      <c r="AG16" s="14">
        <f t="shared" si="67"/>
        <v>126.57507295449604</v>
      </c>
      <c r="AH16" s="14">
        <f t="shared" si="67"/>
        <v>167.52790787266795</v>
      </c>
      <c r="AI16" s="14">
        <f t="shared" si="67"/>
        <v>213.31228865795154</v>
      </c>
      <c r="AJ16" s="14">
        <f t="shared" si="67"/>
        <v>263.84671654328457</v>
      </c>
      <c r="AK16" s="14">
        <f t="shared" si="67"/>
        <v>317.29404590959155</v>
      </c>
      <c r="AL16" s="14">
        <f t="shared" si="67"/>
        <v>373.79207000991761</v>
      </c>
    </row>
    <row r="17" spans="2:97" s="14" customFormat="1" x14ac:dyDescent="0.2">
      <c r="B17" s="14" t="s">
        <v>40</v>
      </c>
      <c r="C17" s="15">
        <f t="shared" ref="C17:O17" si="68">+C15+C16</f>
        <v>-25.301000000000045</v>
      </c>
      <c r="D17" s="15">
        <f t="shared" si="68"/>
        <v>-183.95599999999999</v>
      </c>
      <c r="E17" s="15">
        <f t="shared" si="68"/>
        <v>-27.452999999999975</v>
      </c>
      <c r="F17" s="15">
        <f t="shared" si="68"/>
        <v>-138.32599999999996</v>
      </c>
      <c r="G17" s="15">
        <f t="shared" si="68"/>
        <v>-102.15100000000004</v>
      </c>
      <c r="H17" s="15">
        <f t="shared" si="68"/>
        <v>-123.60300000000001</v>
      </c>
      <c r="I17" s="15">
        <f t="shared" si="68"/>
        <v>-89.458000000000013</v>
      </c>
      <c r="J17" s="15">
        <f t="shared" si="68"/>
        <v>-309.267</v>
      </c>
      <c r="K17" s="15">
        <f t="shared" si="68"/>
        <v>-191.6</v>
      </c>
      <c r="L17" s="15">
        <f t="shared" si="68"/>
        <v>-150.40000000000003</v>
      </c>
      <c r="M17" s="15">
        <f t="shared" si="68"/>
        <v>-161.422</v>
      </c>
      <c r="N17" s="15">
        <f t="shared" si="68"/>
        <v>-188.52699999999996</v>
      </c>
      <c r="O17" s="15">
        <f t="shared" si="68"/>
        <v>174.22492000000003</v>
      </c>
      <c r="P17" s="15">
        <f t="shared" ref="P17" si="69">+P15+P16</f>
        <v>208.94483000000005</v>
      </c>
      <c r="Q17" s="15">
        <f t="shared" ref="Q17" si="70">+Q15+Q16</f>
        <v>211.33108000000004</v>
      </c>
      <c r="R17" s="15">
        <f t="shared" ref="R17" si="71">+R15+R16</f>
        <v>227.80674700000012</v>
      </c>
      <c r="S17" s="15">
        <f t="shared" ref="S17" si="72">+S15+S16</f>
        <v>207.07699390000008</v>
      </c>
      <c r="W17" s="14">
        <f t="shared" ref="W17:AA17" si="73">+W15+W16</f>
        <v>336.80199999999996</v>
      </c>
      <c r="X17" s="14">
        <f t="shared" si="73"/>
        <v>418.14699999999999</v>
      </c>
      <c r="Y17" s="14">
        <f t="shared" si="73"/>
        <v>-158.887</v>
      </c>
      <c r="Z17" s="14">
        <f t="shared" si="73"/>
        <v>-246.34599999999995</v>
      </c>
      <c r="AA17" s="14">
        <f t="shared" si="73"/>
        <v>-158.65000000000006</v>
      </c>
      <c r="AB17" s="14">
        <f>+AB15+AB16</f>
        <v>-451.88600000000002</v>
      </c>
      <c r="AC17" s="14">
        <f>+AC15+AC16</f>
        <v>-713.92799999999966</v>
      </c>
      <c r="AD17" s="14">
        <f>+AD15+AD16</f>
        <v>-326.12408000000011</v>
      </c>
      <c r="AE17" s="14">
        <f t="shared" ref="AE17:AL17" si="74">+AE15+AE16</f>
        <v>1380.9198085000003</v>
      </c>
      <c r="AF17" s="14">
        <f t="shared" si="74"/>
        <v>1470.6329146040007</v>
      </c>
      <c r="AG17" s="14">
        <f t="shared" si="74"/>
        <v>1706.3681215904967</v>
      </c>
      <c r="AH17" s="14">
        <f t="shared" si="74"/>
        <v>1907.6825327201486</v>
      </c>
      <c r="AI17" s="14">
        <f t="shared" si="74"/>
        <v>2105.6011618888765</v>
      </c>
      <c r="AJ17" s="14">
        <f t="shared" si="74"/>
        <v>2226.9720569294582</v>
      </c>
      <c r="AK17" s="14">
        <f t="shared" si="74"/>
        <v>2354.0843375135873</v>
      </c>
      <c r="AL17" s="14">
        <f t="shared" si="74"/>
        <v>2487.1958209185823</v>
      </c>
    </row>
    <row r="18" spans="2:97" s="14" customFormat="1" x14ac:dyDescent="0.2">
      <c r="B18" s="14" t="s">
        <v>39</v>
      </c>
      <c r="C18" s="15">
        <v>0</v>
      </c>
      <c r="D18" s="15">
        <v>0</v>
      </c>
      <c r="E18" s="15">
        <v>0</v>
      </c>
      <c r="F18" s="15">
        <v>3.242</v>
      </c>
      <c r="G18" s="15">
        <v>-1.2110000000000001</v>
      </c>
      <c r="H18" s="15">
        <v>0</v>
      </c>
      <c r="I18" s="15">
        <v>0</v>
      </c>
      <c r="J18" s="15">
        <v>1.1120000000000001</v>
      </c>
      <c r="K18" s="15">
        <v>-2.3450000000000002</v>
      </c>
      <c r="L18" s="15">
        <v>1.254</v>
      </c>
      <c r="M18" s="15">
        <v>0.107</v>
      </c>
      <c r="N18" s="15">
        <v>2.2890000000000001</v>
      </c>
      <c r="O18" s="15"/>
      <c r="P18" s="15"/>
      <c r="Q18" s="15"/>
      <c r="R18" s="15"/>
      <c r="Y18" s="14">
        <v>-33.356999999999999</v>
      </c>
      <c r="Z18" s="14">
        <v>-23.652999999999999</v>
      </c>
      <c r="AA18" s="14">
        <v>0</v>
      </c>
      <c r="AB18" s="14">
        <f t="shared" ref="AB18" si="75">SUM(D18:G18)</f>
        <v>2.0309999999999997</v>
      </c>
      <c r="AC18" s="14">
        <f t="shared" ref="AC18" si="76">SUM(H18:K18)</f>
        <v>-1.2330000000000001</v>
      </c>
      <c r="AD18" s="14">
        <f t="shared" ref="AD18" si="77">SUM(L18:O18)</f>
        <v>3.6500000000000004</v>
      </c>
      <c r="AE18" s="14">
        <f>+AE17*0.2</f>
        <v>276.18396170000005</v>
      </c>
      <c r="AF18" s="14">
        <f t="shared" ref="AF18:AL18" si="78">+AF17*0.2</f>
        <v>294.12658292080016</v>
      </c>
      <c r="AG18" s="14">
        <f t="shared" si="78"/>
        <v>341.27362431809934</v>
      </c>
      <c r="AH18" s="14">
        <f t="shared" si="78"/>
        <v>381.53650654402975</v>
      </c>
      <c r="AI18" s="14">
        <f t="shared" si="78"/>
        <v>421.12023237777532</v>
      </c>
      <c r="AJ18" s="14">
        <f t="shared" si="78"/>
        <v>445.39441138589166</v>
      </c>
      <c r="AK18" s="14">
        <f t="shared" si="78"/>
        <v>470.81686750271751</v>
      </c>
      <c r="AL18" s="14">
        <f t="shared" si="78"/>
        <v>497.43916418371646</v>
      </c>
    </row>
    <row r="19" spans="2:97" s="14" customFormat="1" x14ac:dyDescent="0.2">
      <c r="B19" s="14" t="s">
        <v>38</v>
      </c>
      <c r="C19" s="15">
        <f t="shared" ref="C19:O19" si="79">+C17-C18</f>
        <v>-25.301000000000045</v>
      </c>
      <c r="D19" s="15">
        <f t="shared" si="79"/>
        <v>-183.95599999999999</v>
      </c>
      <c r="E19" s="15">
        <f t="shared" si="79"/>
        <v>-27.452999999999975</v>
      </c>
      <c r="F19" s="15">
        <f t="shared" si="79"/>
        <v>-141.56799999999996</v>
      </c>
      <c r="G19" s="15">
        <f t="shared" si="79"/>
        <v>-100.94000000000004</v>
      </c>
      <c r="H19" s="15">
        <f t="shared" si="79"/>
        <v>-123.60300000000001</v>
      </c>
      <c r="I19" s="15">
        <f t="shared" si="79"/>
        <v>-89.458000000000013</v>
      </c>
      <c r="J19" s="15">
        <f t="shared" si="79"/>
        <v>-310.37900000000002</v>
      </c>
      <c r="K19" s="15">
        <f t="shared" si="79"/>
        <v>-189.255</v>
      </c>
      <c r="L19" s="15">
        <f t="shared" si="79"/>
        <v>-151.65400000000002</v>
      </c>
      <c r="M19" s="15">
        <f t="shared" si="79"/>
        <v>-161.529</v>
      </c>
      <c r="N19" s="15">
        <f t="shared" si="79"/>
        <v>-190.81599999999995</v>
      </c>
      <c r="O19" s="15">
        <f t="shared" si="79"/>
        <v>174.22492000000003</v>
      </c>
      <c r="P19" s="15">
        <f t="shared" ref="P19" si="80">+P17-P18</f>
        <v>208.94483000000005</v>
      </c>
      <c r="Q19" s="15">
        <f t="shared" ref="Q19" si="81">+Q17-Q18</f>
        <v>211.33108000000004</v>
      </c>
      <c r="R19" s="15">
        <f t="shared" ref="R19" si="82">+R17-R18</f>
        <v>227.80674700000012</v>
      </c>
      <c r="S19" s="15">
        <f t="shared" ref="S19" si="83">+S17-S18</f>
        <v>207.07699390000008</v>
      </c>
      <c r="W19" s="14">
        <f t="shared" ref="W19:AA19" si="84">+W17-W18</f>
        <v>336.80199999999996</v>
      </c>
      <c r="X19" s="14">
        <f t="shared" si="84"/>
        <v>418.14699999999999</v>
      </c>
      <c r="Y19" s="14">
        <f t="shared" si="84"/>
        <v>-125.53</v>
      </c>
      <c r="Z19" s="14">
        <f t="shared" si="84"/>
        <v>-222.69299999999996</v>
      </c>
      <c r="AA19" s="14">
        <f t="shared" si="84"/>
        <v>-158.65000000000006</v>
      </c>
      <c r="AB19" s="14">
        <f>+AB17-AB18</f>
        <v>-453.91700000000003</v>
      </c>
      <c r="AC19" s="14">
        <f>+AC17-AC18</f>
        <v>-712.69499999999971</v>
      </c>
      <c r="AD19" s="14">
        <f>+AD17-AD18</f>
        <v>-329.77408000000008</v>
      </c>
      <c r="AE19" s="14">
        <f>+AE17-AE18</f>
        <v>1104.7358468000002</v>
      </c>
      <c r="AF19" s="14">
        <f t="shared" ref="AF19:AL19" si="85">+AF17-AF18</f>
        <v>1176.5063316832006</v>
      </c>
      <c r="AG19" s="14">
        <f t="shared" si="85"/>
        <v>1365.0944972723973</v>
      </c>
      <c r="AH19" s="14">
        <f t="shared" si="85"/>
        <v>1526.146026176119</v>
      </c>
      <c r="AI19" s="14">
        <f t="shared" si="85"/>
        <v>1684.4809295111013</v>
      </c>
      <c r="AJ19" s="14">
        <f t="shared" si="85"/>
        <v>1781.5776455435666</v>
      </c>
      <c r="AK19" s="14">
        <f t="shared" si="85"/>
        <v>1883.2674700108698</v>
      </c>
      <c r="AL19" s="14">
        <f t="shared" si="85"/>
        <v>1989.7566567348658</v>
      </c>
      <c r="AM19" s="14">
        <f t="shared" ref="AM19:BR19" si="86">+AL19*(1+$AO$24)</f>
        <v>1969.8590901675173</v>
      </c>
      <c r="AN19" s="14">
        <f t="shared" si="86"/>
        <v>1950.160499265842</v>
      </c>
      <c r="AO19" s="14">
        <f t="shared" si="86"/>
        <v>1930.6588942731835</v>
      </c>
      <c r="AP19" s="14">
        <f t="shared" si="86"/>
        <v>1911.3523053304516</v>
      </c>
      <c r="AQ19" s="14">
        <f t="shared" si="86"/>
        <v>1892.238782277147</v>
      </c>
      <c r="AR19" s="14">
        <f t="shared" si="86"/>
        <v>1873.3163944543755</v>
      </c>
      <c r="AS19" s="14">
        <f t="shared" si="86"/>
        <v>1854.5832305098318</v>
      </c>
      <c r="AT19" s="14">
        <f t="shared" si="86"/>
        <v>1836.0373982047333</v>
      </c>
      <c r="AU19" s="14">
        <f t="shared" si="86"/>
        <v>1817.677024222686</v>
      </c>
      <c r="AV19" s="14">
        <f t="shared" si="86"/>
        <v>1799.5002539804591</v>
      </c>
      <c r="AW19" s="14">
        <f t="shared" si="86"/>
        <v>1781.5052514406545</v>
      </c>
      <c r="AX19" s="14">
        <f t="shared" si="86"/>
        <v>1763.6901989262481</v>
      </c>
      <c r="AY19" s="14">
        <f t="shared" si="86"/>
        <v>1746.0532969369856</v>
      </c>
      <c r="AZ19" s="14">
        <f t="shared" si="86"/>
        <v>1728.5927639676156</v>
      </c>
      <c r="BA19" s="14">
        <f t="shared" si="86"/>
        <v>1711.3068363279394</v>
      </c>
      <c r="BB19" s="14">
        <f t="shared" si="86"/>
        <v>1694.1937679646601</v>
      </c>
      <c r="BC19" s="14">
        <f t="shared" si="86"/>
        <v>1677.2518302850135</v>
      </c>
      <c r="BD19" s="14">
        <f t="shared" si="86"/>
        <v>1660.4793119821634</v>
      </c>
      <c r="BE19" s="14">
        <f t="shared" si="86"/>
        <v>1643.8745188623418</v>
      </c>
      <c r="BF19" s="14">
        <f t="shared" si="86"/>
        <v>1627.4357736737184</v>
      </c>
      <c r="BG19" s="14">
        <f t="shared" si="86"/>
        <v>1611.1614159369813</v>
      </c>
      <c r="BH19" s="14">
        <f t="shared" si="86"/>
        <v>1595.0498017776115</v>
      </c>
      <c r="BI19" s="14">
        <f t="shared" si="86"/>
        <v>1579.0993037598353</v>
      </c>
      <c r="BJ19" s="14">
        <f t="shared" si="86"/>
        <v>1563.3083107222369</v>
      </c>
      <c r="BK19" s="14">
        <f t="shared" si="86"/>
        <v>1547.6752276150146</v>
      </c>
      <c r="BL19" s="14">
        <f t="shared" si="86"/>
        <v>1532.1984753388645</v>
      </c>
      <c r="BM19" s="14">
        <f t="shared" si="86"/>
        <v>1516.8764905854757</v>
      </c>
      <c r="BN19" s="14">
        <f t="shared" si="86"/>
        <v>1501.707725679621</v>
      </c>
      <c r="BO19" s="14">
        <f t="shared" si="86"/>
        <v>1486.6906484228248</v>
      </c>
      <c r="BP19" s="14">
        <f t="shared" si="86"/>
        <v>1471.8237419385964</v>
      </c>
      <c r="BQ19" s="14">
        <f t="shared" si="86"/>
        <v>1457.1055045192104</v>
      </c>
      <c r="BR19" s="14">
        <f t="shared" si="86"/>
        <v>1442.5344494740182</v>
      </c>
      <c r="BS19" s="14">
        <f t="shared" ref="BS19:CS19" si="87">+BR19*(1+$AO$24)</f>
        <v>1428.1091049792781</v>
      </c>
      <c r="BT19" s="14">
        <f t="shared" si="87"/>
        <v>1413.8280139294852</v>
      </c>
      <c r="BU19" s="14">
        <f t="shared" si="87"/>
        <v>1399.6897337901903</v>
      </c>
      <c r="BV19" s="14">
        <f t="shared" si="87"/>
        <v>1385.6928364522885</v>
      </c>
      <c r="BW19" s="14">
        <f t="shared" si="87"/>
        <v>1371.8359080877656</v>
      </c>
      <c r="BX19" s="14">
        <f t="shared" si="87"/>
        <v>1358.1175490068879</v>
      </c>
      <c r="BY19" s="14">
        <f t="shared" si="87"/>
        <v>1344.5363735168189</v>
      </c>
      <c r="BZ19" s="14">
        <f t="shared" si="87"/>
        <v>1331.0910097816507</v>
      </c>
      <c r="CA19" s="14">
        <f t="shared" si="87"/>
        <v>1317.7800996838341</v>
      </c>
      <c r="CB19" s="14">
        <f t="shared" si="87"/>
        <v>1304.6022986869957</v>
      </c>
      <c r="CC19" s="14">
        <f t="shared" si="87"/>
        <v>1291.5562757001258</v>
      </c>
      <c r="CD19" s="14">
        <f t="shared" si="87"/>
        <v>1278.6407129431245</v>
      </c>
      <c r="CE19" s="14">
        <f t="shared" si="87"/>
        <v>1265.8543058136934</v>
      </c>
      <c r="CF19" s="14">
        <f t="shared" si="87"/>
        <v>1253.1957627555564</v>
      </c>
      <c r="CG19" s="14">
        <f t="shared" si="87"/>
        <v>1240.6638051280008</v>
      </c>
      <c r="CH19" s="14">
        <f t="shared" si="87"/>
        <v>1228.2571670767209</v>
      </c>
      <c r="CI19" s="14">
        <f t="shared" si="87"/>
        <v>1215.9745954059536</v>
      </c>
      <c r="CJ19" s="14">
        <f t="shared" si="87"/>
        <v>1203.8148494518939</v>
      </c>
      <c r="CK19" s="14">
        <f t="shared" si="87"/>
        <v>1191.7767009573749</v>
      </c>
      <c r="CL19" s="14">
        <f t="shared" si="87"/>
        <v>1179.8589339478012</v>
      </c>
      <c r="CM19" s="14">
        <f t="shared" si="87"/>
        <v>1168.0603446083232</v>
      </c>
      <c r="CN19" s="14">
        <f t="shared" si="87"/>
        <v>1156.37974116224</v>
      </c>
      <c r="CO19" s="14">
        <f t="shared" si="87"/>
        <v>1144.8159437506176</v>
      </c>
      <c r="CP19" s="14">
        <f t="shared" si="87"/>
        <v>1133.3677843131115</v>
      </c>
      <c r="CQ19" s="14">
        <f t="shared" si="87"/>
        <v>1122.0341064699803</v>
      </c>
      <c r="CR19" s="14">
        <f t="shared" si="87"/>
        <v>1110.8137654052805</v>
      </c>
      <c r="CS19" s="14">
        <f t="shared" si="87"/>
        <v>1099.7056277512277</v>
      </c>
    </row>
    <row r="20" spans="2:97" x14ac:dyDescent="0.2">
      <c r="B20" t="s">
        <v>37</v>
      </c>
      <c r="C20" s="18">
        <f t="shared" ref="C20:O20" si="88">+C19/C21</f>
        <v>-0.14174150284872378</v>
      </c>
      <c r="D20" s="18">
        <f t="shared" si="88"/>
        <v>-1.067339715694807</v>
      </c>
      <c r="E20" s="18">
        <f t="shared" si="88"/>
        <v>-0.15831632123455922</v>
      </c>
      <c r="F20" s="18">
        <f t="shared" si="88"/>
        <v>-0.77837219659440138</v>
      </c>
      <c r="G20" s="18">
        <f t="shared" si="88"/>
        <v>-0.54257149000215033</v>
      </c>
      <c r="H20" s="18">
        <f t="shared" si="88"/>
        <v>-0.68232404085012421</v>
      </c>
      <c r="I20" s="18">
        <f t="shared" si="88"/>
        <v>-0.49253419076353877</v>
      </c>
      <c r="J20" s="18">
        <f t="shared" si="88"/>
        <v>-1.7025446646517064</v>
      </c>
      <c r="K20" s="18">
        <f t="shared" si="88"/>
        <v>-1.0336437368579152</v>
      </c>
      <c r="L20" s="18">
        <f t="shared" si="88"/>
        <v>-0.8257907834051198</v>
      </c>
      <c r="M20" s="18">
        <f t="shared" si="88"/>
        <v>-0.87718374107361041</v>
      </c>
      <c r="N20" s="18">
        <f t="shared" si="88"/>
        <v>-1.032598813801463</v>
      </c>
      <c r="O20" s="18">
        <f t="shared" si="88"/>
        <v>0.94281635568639344</v>
      </c>
      <c r="P20" s="18">
        <f t="shared" ref="P20" si="89">+P19/P21</f>
        <v>1.1307027901640767</v>
      </c>
      <c r="Q20" s="18">
        <f t="shared" ref="Q20" si="90">+Q19/Q21</f>
        <v>1.1436159574007534</v>
      </c>
      <c r="R20" s="18">
        <f t="shared" ref="R20" si="91">+R19/R21</f>
        <v>1.2327738592579771</v>
      </c>
      <c r="S20" s="18">
        <f t="shared" ref="S20" si="92">+S19/S21</f>
        <v>1.1205950143945629</v>
      </c>
      <c r="W20" s="18">
        <f t="shared" ref="W20:AA20" si="93">+W19/W21</f>
        <v>2.6071494921971761</v>
      </c>
      <c r="X20" s="18">
        <f t="shared" si="93"/>
        <v>2.9709334545919597</v>
      </c>
      <c r="Y20" s="18">
        <f t="shared" si="93"/>
        <v>-0.87676533448810534</v>
      </c>
      <c r="Z20" s="18">
        <f t="shared" si="93"/>
        <v>-1.4125336969966062</v>
      </c>
      <c r="AA20" s="18">
        <f t="shared" si="93"/>
        <v>-0.95862185645748033</v>
      </c>
      <c r="AB20" s="18">
        <f>+AB19/AB21</f>
        <v>-2.5441175440292683</v>
      </c>
      <c r="AC20" s="18">
        <f>+AC19/AC21</f>
        <v>-3.91496011953154</v>
      </c>
      <c r="AD20" s="18">
        <f>+AD19/AD21</f>
        <v>-1.7889059584255524</v>
      </c>
      <c r="AE20" s="18">
        <f t="shared" ref="AE20:AL20" si="94">+AE19/AE21</f>
        <v>5.9927952458447251</v>
      </c>
      <c r="AF20" s="18">
        <f t="shared" si="94"/>
        <v>6.3821243527492104</v>
      </c>
      <c r="AG20" s="18">
        <f t="shared" si="94"/>
        <v>7.405147426943091</v>
      </c>
      <c r="AH20" s="18">
        <f t="shared" si="94"/>
        <v>8.2787941358336532</v>
      </c>
      <c r="AI20" s="18">
        <f t="shared" si="94"/>
        <v>9.1377041265845431</v>
      </c>
      <c r="AJ20" s="18">
        <f t="shared" si="94"/>
        <v>9.6644189425398519</v>
      </c>
      <c r="AK20" s="18">
        <f t="shared" si="94"/>
        <v>10.216049722317351</v>
      </c>
      <c r="AL20" s="18">
        <f t="shared" si="94"/>
        <v>10.79371531883254</v>
      </c>
    </row>
    <row r="21" spans="2:97" s="14" customFormat="1" x14ac:dyDescent="0.2">
      <c r="B21" s="14" t="s">
        <v>1</v>
      </c>
      <c r="C21" s="15">
        <v>178.501</v>
      </c>
      <c r="D21" s="15">
        <v>172.35</v>
      </c>
      <c r="E21" s="15">
        <v>173.40600000000001</v>
      </c>
      <c r="F21" s="15">
        <v>181.87700000000001</v>
      </c>
      <c r="G21" s="15">
        <v>186.04</v>
      </c>
      <c r="H21" s="15">
        <v>181.15</v>
      </c>
      <c r="I21" s="15">
        <v>181.62799999999999</v>
      </c>
      <c r="J21" s="15">
        <v>182.303</v>
      </c>
      <c r="K21" s="15">
        <v>183.095</v>
      </c>
      <c r="L21" s="15">
        <v>183.64699999999999</v>
      </c>
      <c r="M21" s="15">
        <v>184.14500000000001</v>
      </c>
      <c r="N21" s="15">
        <v>184.792</v>
      </c>
      <c r="O21" s="15">
        <f>+N21</f>
        <v>184.792</v>
      </c>
      <c r="P21" s="15">
        <f t="shared" ref="P21:S21" si="95">+O21</f>
        <v>184.792</v>
      </c>
      <c r="Q21" s="15">
        <f t="shared" si="95"/>
        <v>184.792</v>
      </c>
      <c r="R21" s="15">
        <f t="shared" si="95"/>
        <v>184.792</v>
      </c>
      <c r="S21" s="15">
        <f t="shared" si="95"/>
        <v>184.792</v>
      </c>
      <c r="W21" s="14">
        <v>129.184</v>
      </c>
      <c r="X21" s="14">
        <v>140.74600000000001</v>
      </c>
      <c r="Y21" s="14">
        <v>143.17400000000001</v>
      </c>
      <c r="Z21" s="14">
        <v>157.655</v>
      </c>
      <c r="AA21" s="14">
        <v>165.49799999999999</v>
      </c>
      <c r="AB21" s="14">
        <f>AVERAGE(D21:G21)</f>
        <v>178.41825</v>
      </c>
      <c r="AC21" s="14">
        <f>AVERAGE(H21:K21)</f>
        <v>182.04400000000001</v>
      </c>
      <c r="AD21" s="14">
        <f>AVERAGE(L21:O21)</f>
        <v>184.34400000000002</v>
      </c>
      <c r="AE21" s="14">
        <f>+AD21</f>
        <v>184.34400000000002</v>
      </c>
      <c r="AF21" s="14">
        <f t="shared" ref="AF21:AL21" si="96">+AE21</f>
        <v>184.34400000000002</v>
      </c>
      <c r="AG21" s="14">
        <f t="shared" si="96"/>
        <v>184.34400000000002</v>
      </c>
      <c r="AH21" s="14">
        <f t="shared" si="96"/>
        <v>184.34400000000002</v>
      </c>
      <c r="AI21" s="14">
        <f t="shared" si="96"/>
        <v>184.34400000000002</v>
      </c>
      <c r="AJ21" s="14">
        <f t="shared" si="96"/>
        <v>184.34400000000002</v>
      </c>
      <c r="AK21" s="14">
        <f t="shared" si="96"/>
        <v>184.34400000000002</v>
      </c>
      <c r="AL21" s="14">
        <f t="shared" si="96"/>
        <v>184.34400000000002</v>
      </c>
    </row>
    <row r="23" spans="2:97" s="12" customFormat="1" x14ac:dyDescent="0.2">
      <c r="B23" s="16" t="s">
        <v>42</v>
      </c>
      <c r="C23" s="13"/>
      <c r="D23" s="13"/>
      <c r="E23" s="13"/>
      <c r="F23" s="13"/>
      <c r="G23" s="22">
        <f t="shared" ref="G23:O23" si="97">G9/C9-1</f>
        <v>0.39647132268836427</v>
      </c>
      <c r="H23" s="22">
        <f t="shared" si="97"/>
        <v>0.50621118012422373</v>
      </c>
      <c r="I23" s="22">
        <f t="shared" si="97"/>
        <v>0.41165473715200473</v>
      </c>
      <c r="J23" s="22">
        <f t="shared" si="97"/>
        <v>0.52346915887850476</v>
      </c>
      <c r="K23" s="22">
        <f t="shared" si="97"/>
        <v>0.2457245724572461</v>
      </c>
      <c r="L23" s="22">
        <f t="shared" si="97"/>
        <v>0.24711946634323811</v>
      </c>
      <c r="M23" s="22">
        <f t="shared" si="97"/>
        <v>0.2273329231795953</v>
      </c>
      <c r="N23" s="22">
        <f>N9/J9-1</f>
        <v>0.25218389902043548</v>
      </c>
      <c r="O23" s="22">
        <f t="shared" si="97"/>
        <v>0.20628131021194607</v>
      </c>
      <c r="P23" s="22">
        <f t="shared" ref="P23" si="98">P9/L9-1</f>
        <v>0.20605883783126688</v>
      </c>
      <c r="Q23" s="22">
        <f t="shared" ref="Q23" si="99">Q9/M9-1</f>
        <v>0.19001062022090065</v>
      </c>
      <c r="R23" s="22">
        <f t="shared" ref="R23" si="100">R9/N9-1</f>
        <v>0.11303017832647466</v>
      </c>
      <c r="S23" s="22">
        <f t="shared" ref="S23" si="101">S9/O9-1</f>
        <v>0.11101254272753414</v>
      </c>
      <c r="X23" s="25">
        <f t="shared" ref="X23:AB23" si="102">+X9/W9-1</f>
        <v>0.24152172493037471</v>
      </c>
      <c r="Y23" s="25">
        <f t="shared" si="102"/>
        <v>0.15330254671204147</v>
      </c>
      <c r="Z23" s="25">
        <f t="shared" si="102"/>
        <v>0.35759460860549508</v>
      </c>
      <c r="AA23" s="25">
        <f t="shared" si="102"/>
        <v>0.40020314647930344</v>
      </c>
      <c r="AB23" s="25">
        <f t="shared" si="102"/>
        <v>0.19066163564823468</v>
      </c>
      <c r="AC23" s="25">
        <f>+AC9/AB9-1</f>
        <v>0.40735779824919049</v>
      </c>
      <c r="AD23" s="25">
        <f t="shared" ref="AD23:AL23" si="103">+AD9/AC9-1</f>
        <v>0.23248383594032762</v>
      </c>
      <c r="AE23" s="25">
        <f t="shared" si="103"/>
        <v>0.15184947244101155</v>
      </c>
      <c r="AF23" s="25">
        <f t="shared" si="103"/>
        <v>2.6804968812580876E-2</v>
      </c>
      <c r="AG23" s="25">
        <f t="shared" si="103"/>
        <v>0.11879289748148159</v>
      </c>
      <c r="AH23" s="25">
        <f t="shared" si="103"/>
        <v>8.636684525130689E-2</v>
      </c>
      <c r="AI23" s="25">
        <f t="shared" si="103"/>
        <v>7.5897264726148217E-2</v>
      </c>
      <c r="AJ23" s="25">
        <f t="shared" si="103"/>
        <v>3.6005484147974443E-2</v>
      </c>
      <c r="AK23" s="25">
        <f t="shared" si="103"/>
        <v>3.6086607119226954E-2</v>
      </c>
      <c r="AL23" s="25">
        <f t="shared" si="103"/>
        <v>3.6168342908087459E-2</v>
      </c>
      <c r="AN23" s="12" t="s">
        <v>86</v>
      </c>
      <c r="AO23" s="25">
        <v>0.08</v>
      </c>
    </row>
    <row r="24" spans="2:97" x14ac:dyDescent="0.2">
      <c r="B24" s="14" t="s">
        <v>90</v>
      </c>
      <c r="F24" s="19"/>
      <c r="G24" s="19">
        <f t="shared" ref="G24:N24" si="104">+G3/C3-1</f>
        <v>-1.5042117930204602E-2</v>
      </c>
      <c r="H24" s="19">
        <f t="shared" si="104"/>
        <v>-9.4454600853137727E-3</v>
      </c>
      <c r="I24" s="19">
        <f t="shared" si="104"/>
        <v>8.5970149253731476E-2</v>
      </c>
      <c r="J24" s="19">
        <f t="shared" si="104"/>
        <v>0.13165952235150025</v>
      </c>
      <c r="K24" s="19">
        <f t="shared" si="104"/>
        <v>7.6970067196090453E-2</v>
      </c>
      <c r="L24" s="19">
        <f t="shared" si="104"/>
        <v>0.11350353737311591</v>
      </c>
      <c r="M24" s="19">
        <f t="shared" si="104"/>
        <v>0.10995052226498081</v>
      </c>
      <c r="N24" s="19">
        <f t="shared" si="104"/>
        <v>0.18554653679653677</v>
      </c>
      <c r="O24" s="19">
        <f t="shared" ref="O24" si="105">+O3/K3-1</f>
        <v>0.10000000000000009</v>
      </c>
      <c r="P24" s="19">
        <f t="shared" ref="P24" si="106">+P3/L3-1</f>
        <v>0.10000000000000009</v>
      </c>
      <c r="Q24" s="19">
        <f t="shared" ref="Q24" si="107">+Q3/M3-1</f>
        <v>0.10000000000000009</v>
      </c>
      <c r="R24" s="19">
        <f t="shared" ref="R24" si="108">+R3/N3-1</f>
        <v>0.10000000000000009</v>
      </c>
      <c r="S24" s="19">
        <f t="shared" ref="S24" si="109">+S3/O3-1</f>
        <v>0.10000000000000009</v>
      </c>
      <c r="X24" s="26">
        <f>+X3/W3-1</f>
        <v>0.17568524056411805</v>
      </c>
      <c r="Y24" s="26">
        <f t="shared" ref="Y24:AL24" si="110">+Y3/X3-1</f>
        <v>0.15726616647727698</v>
      </c>
      <c r="Z24" s="26">
        <f t="shared" si="110"/>
        <v>0.55059142546868589</v>
      </c>
      <c r="AA24" s="26">
        <f t="shared" si="110"/>
        <v>0.31626976554980768</v>
      </c>
      <c r="AB24" s="26">
        <f t="shared" si="110"/>
        <v>4.9172179891769474E-2</v>
      </c>
      <c r="AC24" s="26">
        <f t="shared" si="110"/>
        <v>7.1287579714545801E-2</v>
      </c>
      <c r="AD24" s="26">
        <f t="shared" si="110"/>
        <v>0.12808305577209289</v>
      </c>
      <c r="AE24" s="26">
        <f t="shared" si="110"/>
        <v>0.10000000000000009</v>
      </c>
      <c r="AF24" s="26">
        <f t="shared" si="110"/>
        <v>3.0000000000000027E-2</v>
      </c>
      <c r="AG24" s="26">
        <f t="shared" si="110"/>
        <v>3.0000000000000027E-2</v>
      </c>
      <c r="AH24" s="26">
        <f t="shared" si="110"/>
        <v>3.0000000000000027E-2</v>
      </c>
      <c r="AI24" s="26">
        <f t="shared" si="110"/>
        <v>3.0000000000000027E-2</v>
      </c>
      <c r="AJ24" s="26">
        <f t="shared" si="110"/>
        <v>3.0000000000000027E-2</v>
      </c>
      <c r="AK24" s="26">
        <f t="shared" si="110"/>
        <v>3.0000000000000027E-2</v>
      </c>
      <c r="AL24" s="26">
        <f t="shared" si="110"/>
        <v>3.0000000000000027E-2</v>
      </c>
      <c r="AN24" t="s">
        <v>87</v>
      </c>
      <c r="AO24" s="26">
        <v>-0.01</v>
      </c>
    </row>
    <row r="25" spans="2:97" x14ac:dyDescent="0.2">
      <c r="B25" s="14" t="s">
        <v>41</v>
      </c>
      <c r="C25" s="19">
        <f t="shared" ref="C25" si="111">+C11/C9</f>
        <v>0.95002367255617515</v>
      </c>
      <c r="D25" s="19">
        <f t="shared" ref="D25:G25" si="112">+D11/D9</f>
        <v>0.86563299232736579</v>
      </c>
      <c r="E25" s="19">
        <f t="shared" si="112"/>
        <v>0.822459381382597</v>
      </c>
      <c r="F25" s="19">
        <f t="shared" si="112"/>
        <v>0.76897196261682244</v>
      </c>
      <c r="G25" s="19">
        <f t="shared" si="112"/>
        <v>0.81458145814581451</v>
      </c>
      <c r="H25" s="19">
        <f t="shared" ref="H25:I25" si="113">+H11/H9</f>
        <v>0.80553365676167377</v>
      </c>
      <c r="I25" s="19">
        <f t="shared" si="113"/>
        <v>0.79642644865952716</v>
      </c>
      <c r="J25" s="19">
        <f t="shared" ref="J25:O25" si="114">+J11/J9</f>
        <v>0.79719184939439747</v>
      </c>
      <c r="K25" s="19">
        <f t="shared" si="114"/>
        <v>0.79118497109826591</v>
      </c>
      <c r="L25" s="19">
        <f t="shared" si="114"/>
        <v>0.78695356187697552</v>
      </c>
      <c r="M25" s="19">
        <f t="shared" si="114"/>
        <v>0.77463891248937988</v>
      </c>
      <c r="N25" s="19">
        <f>+N11/N9</f>
        <v>0.7881207133058985</v>
      </c>
      <c r="O25" s="19">
        <f t="shared" si="114"/>
        <v>0.79</v>
      </c>
      <c r="P25" s="19">
        <f t="shared" ref="P25:S25" si="115">+P11/P9</f>
        <v>0.79</v>
      </c>
      <c r="Q25" s="19">
        <f t="shared" si="115"/>
        <v>0.79</v>
      </c>
      <c r="R25" s="19">
        <f t="shared" si="115"/>
        <v>0.79</v>
      </c>
      <c r="S25" s="19">
        <f t="shared" si="115"/>
        <v>0.79</v>
      </c>
      <c r="W25" s="19">
        <f t="shared" ref="W25:AA25" si="116">+W11/W9</f>
        <v>1</v>
      </c>
      <c r="X25" s="19">
        <f t="shared" si="116"/>
        <v>1</v>
      </c>
      <c r="Y25" s="19">
        <f t="shared" si="116"/>
        <v>0.88778019699326072</v>
      </c>
      <c r="Z25" s="19">
        <f t="shared" si="116"/>
        <v>0.86513975866809223</v>
      </c>
      <c r="AA25" s="19">
        <f t="shared" si="116"/>
        <v>0.95205478704894553</v>
      </c>
      <c r="AB25" s="19">
        <f t="shared" ref="AB25:AL25" si="117">+AB11/AB9</f>
        <v>0.8156061182140093</v>
      </c>
      <c r="AC25" s="19">
        <f t="shared" si="117"/>
        <v>0.79716806716124478</v>
      </c>
      <c r="AD25" s="19">
        <f t="shared" si="117"/>
        <v>0.78501174700831577</v>
      </c>
      <c r="AE25" s="19">
        <f t="shared" si="117"/>
        <v>0.79</v>
      </c>
      <c r="AF25" s="19">
        <f t="shared" si="117"/>
        <v>0.8</v>
      </c>
      <c r="AG25" s="19">
        <f t="shared" si="117"/>
        <v>0.8</v>
      </c>
      <c r="AH25" s="19">
        <f t="shared" si="117"/>
        <v>0.8</v>
      </c>
      <c r="AI25" s="19">
        <f t="shared" si="117"/>
        <v>0.8</v>
      </c>
      <c r="AJ25" s="19">
        <f t="shared" si="117"/>
        <v>0.8</v>
      </c>
      <c r="AK25" s="19">
        <f t="shared" si="117"/>
        <v>0.8</v>
      </c>
      <c r="AL25" s="19">
        <f t="shared" si="117"/>
        <v>0.8</v>
      </c>
      <c r="AN25" t="s">
        <v>88</v>
      </c>
      <c r="AO25" s="26">
        <v>0.03</v>
      </c>
    </row>
    <row r="26" spans="2:97" x14ac:dyDescent="0.2">
      <c r="AN26" s="14" t="s">
        <v>89</v>
      </c>
      <c r="AO26" s="14">
        <f>NPV(AO23,AE19:CS19)+Main!K5-Main!K6</f>
        <v>22199.019174395693</v>
      </c>
    </row>
    <row r="27" spans="2:97" s="14" customFormat="1" x14ac:dyDescent="0.2">
      <c r="B27" s="14" t="s">
        <v>3</v>
      </c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>
        <v>1850</v>
      </c>
      <c r="N27" s="15">
        <f>362.601+1401.101</f>
        <v>1763.7020000000002</v>
      </c>
      <c r="O27" s="15">
        <f t="shared" ref="O27" si="118">+N27+O19</f>
        <v>1937.9269200000003</v>
      </c>
      <c r="P27" s="15">
        <f t="shared" ref="P27" si="119">+O27+P19</f>
        <v>2146.8717500000002</v>
      </c>
      <c r="Q27" s="15">
        <f t="shared" ref="Q27" si="120">+P27+Q19</f>
        <v>2358.2028300000002</v>
      </c>
      <c r="R27" s="15">
        <f t="shared" ref="R27" si="121">+Q27+R19</f>
        <v>2586.0095770000003</v>
      </c>
      <c r="S27" s="15">
        <f t="shared" ref="S27" si="122">+R27+S19</f>
        <v>2793.0865709000004</v>
      </c>
      <c r="AD27" s="14">
        <f>+O27</f>
        <v>1937.9269200000003</v>
      </c>
      <c r="AE27" s="14">
        <f>+AD27+AE19</f>
        <v>3042.6627668000006</v>
      </c>
      <c r="AF27" s="14">
        <f t="shared" ref="AF27:AL27" si="123">+AE27+AF19</f>
        <v>4219.1690984832012</v>
      </c>
      <c r="AG27" s="14">
        <f t="shared" si="123"/>
        <v>5584.2635957555985</v>
      </c>
      <c r="AH27" s="14">
        <f t="shared" si="123"/>
        <v>7110.409621931718</v>
      </c>
      <c r="AI27" s="14">
        <f t="shared" si="123"/>
        <v>8794.8905514428188</v>
      </c>
      <c r="AJ27" s="14">
        <f t="shared" si="123"/>
        <v>10576.468196986385</v>
      </c>
      <c r="AK27" s="14">
        <f t="shared" si="123"/>
        <v>12459.735666997254</v>
      </c>
      <c r="AL27" s="14">
        <f t="shared" si="123"/>
        <v>14449.49232373212</v>
      </c>
      <c r="AN27" s="14" t="s">
        <v>110</v>
      </c>
      <c r="AO27" s="14">
        <f>+AO26/Main!K3</f>
        <v>119.56497461195261</v>
      </c>
    </row>
    <row r="28" spans="2:97" s="14" customFormat="1" x14ac:dyDescent="0.2">
      <c r="B28" s="14" t="s">
        <v>96</v>
      </c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>
        <v>486.755</v>
      </c>
      <c r="O28" s="15"/>
      <c r="P28" s="15"/>
      <c r="Q28" s="15"/>
      <c r="R28" s="15"/>
    </row>
    <row r="29" spans="2:97" s="14" customFormat="1" x14ac:dyDescent="0.2">
      <c r="B29" s="14" t="s">
        <v>97</v>
      </c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>
        <v>364.97</v>
      </c>
      <c r="O29" s="15"/>
      <c r="P29" s="15"/>
      <c r="Q29" s="15"/>
      <c r="R29" s="15"/>
    </row>
    <row r="30" spans="2:97" s="14" customFormat="1" x14ac:dyDescent="0.2">
      <c r="B30" s="14" t="s">
        <v>98</v>
      </c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>
        <v>144.19200000000001</v>
      </c>
      <c r="O30" s="15"/>
      <c r="P30" s="15"/>
      <c r="Q30" s="15"/>
      <c r="R30" s="15"/>
    </row>
    <row r="31" spans="2:97" s="14" customFormat="1" x14ac:dyDescent="0.2">
      <c r="B31" s="14" t="s">
        <v>99</v>
      </c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>
        <v>230.30199999999999</v>
      </c>
      <c r="O31" s="15"/>
      <c r="P31" s="15"/>
      <c r="Q31" s="15"/>
      <c r="R31" s="15"/>
    </row>
    <row r="32" spans="2:97" s="14" customFormat="1" x14ac:dyDescent="0.2">
      <c r="B32" s="14" t="s">
        <v>100</v>
      </c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>
        <v>49.308</v>
      </c>
      <c r="O32" s="15"/>
      <c r="P32" s="15"/>
      <c r="Q32" s="15"/>
      <c r="R32" s="15"/>
    </row>
    <row r="33" spans="2:27" s="14" customFormat="1" x14ac:dyDescent="0.2">
      <c r="B33" s="14" t="s">
        <v>101</v>
      </c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>
        <f>243.332+274.671</f>
        <v>518.00299999999993</v>
      </c>
      <c r="O33" s="15"/>
      <c r="P33" s="15"/>
      <c r="Q33" s="15"/>
      <c r="R33" s="15"/>
    </row>
    <row r="34" spans="2:27" s="14" customFormat="1" x14ac:dyDescent="0.2">
      <c r="B34" s="14" t="s">
        <v>102</v>
      </c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>
        <v>61.845999999999997</v>
      </c>
      <c r="O34" s="15"/>
      <c r="P34" s="15"/>
      <c r="Q34" s="15"/>
      <c r="R34" s="15"/>
    </row>
    <row r="35" spans="2:27" s="14" customFormat="1" x14ac:dyDescent="0.2">
      <c r="B35" s="14" t="s">
        <v>95</v>
      </c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>
        <f>SUM(N27:N34)</f>
        <v>3619.0780000000009</v>
      </c>
      <c r="O35" s="15"/>
      <c r="P35" s="15"/>
      <c r="Q35" s="15"/>
      <c r="R35" s="15"/>
    </row>
    <row r="37" spans="2:27" s="14" customFormat="1" x14ac:dyDescent="0.2">
      <c r="B37" s="14" t="s">
        <v>103</v>
      </c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>
        <v>144.499</v>
      </c>
      <c r="O37" s="15"/>
      <c r="P37" s="15"/>
      <c r="Q37" s="15"/>
      <c r="R37" s="15"/>
    </row>
    <row r="38" spans="2:27" s="14" customFormat="1" x14ac:dyDescent="0.2">
      <c r="B38" s="14" t="s">
        <v>104</v>
      </c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>
        <v>581.49900000000002</v>
      </c>
      <c r="O38" s="15"/>
      <c r="P38" s="15"/>
      <c r="Q38" s="15"/>
      <c r="R38" s="15"/>
    </row>
    <row r="39" spans="2:27" s="14" customFormat="1" x14ac:dyDescent="0.2">
      <c r="B39" s="14" t="s">
        <v>105</v>
      </c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>
        <v>46.703000000000003</v>
      </c>
      <c r="O39" s="15"/>
      <c r="P39" s="15"/>
      <c r="Q39" s="15"/>
      <c r="R39" s="15"/>
    </row>
    <row r="40" spans="2:27" s="14" customFormat="1" x14ac:dyDescent="0.2">
      <c r="B40" s="14" t="s">
        <v>106</v>
      </c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>
        <v>24.565999999999999</v>
      </c>
      <c r="O40" s="15"/>
      <c r="P40" s="15"/>
      <c r="Q40" s="15"/>
      <c r="R40" s="15"/>
    </row>
    <row r="41" spans="2:27" s="14" customFormat="1" x14ac:dyDescent="0.2">
      <c r="B41" s="14" t="s">
        <v>107</v>
      </c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>
        <v>2821.8110000000001</v>
      </c>
      <c r="O41" s="15"/>
      <c r="P41" s="15"/>
      <c r="Q41" s="15"/>
      <c r="R41" s="15"/>
    </row>
    <row r="42" spans="2:27" s="14" customFormat="1" x14ac:dyDescent="0.2">
      <c r="B42" s="14" t="s">
        <v>108</v>
      </c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>
        <f>SUM(N37:N41)</f>
        <v>3619.0780000000004</v>
      </c>
      <c r="O42" s="15"/>
      <c r="P42" s="15"/>
      <c r="Q42" s="15"/>
      <c r="R42" s="15"/>
    </row>
    <row r="44" spans="2:27" x14ac:dyDescent="0.2">
      <c r="B44" s="14" t="s">
        <v>109</v>
      </c>
      <c r="AA44">
        <v>1605</v>
      </c>
    </row>
  </sheetData>
  <hyperlinks>
    <hyperlink ref="A1" location="Main!A1" display="Main" xr:uid="{9AEB50ED-0851-4ED2-8734-D8258D93BDA0}"/>
  </hyperlinks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Nichols Ringholm</dc:creator>
  <cp:lastModifiedBy>Sam Nichols Ringholm</cp:lastModifiedBy>
  <dcterms:created xsi:type="dcterms:W3CDTF">2022-10-11T20:41:54Z</dcterms:created>
  <dcterms:modified xsi:type="dcterms:W3CDTF">2025-10-16T08:24:15Z</dcterms:modified>
</cp:coreProperties>
</file>