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97AB73FA-D49C-4669-91B0-53E3DD967523}" xr6:coauthVersionLast="47" xr6:coauthVersionMax="47" xr10:uidLastSave="{00000000-0000-0000-0000-000000000000}"/>
  <bookViews>
    <workbookView xWindow="4755" yWindow="3720" windowWidth="18075" windowHeight="16020" activeTab="1" xr2:uid="{4C738B13-F7F2-4EF0-BC23-FFCDB8FDE18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27" i="2" l="1"/>
  <c r="AK27" i="2"/>
  <c r="AJ27" i="2"/>
  <c r="AL12" i="2"/>
  <c r="AK12" i="2"/>
  <c r="Z22" i="2"/>
  <c r="W17" i="2"/>
  <c r="X17" i="2" s="1"/>
  <c r="Y17" i="2" s="1"/>
  <c r="Z17" i="2" s="1"/>
  <c r="W16" i="2"/>
  <c r="X16" i="2" s="1"/>
  <c r="Y16" i="2" s="1"/>
  <c r="Z16" i="2" s="1"/>
  <c r="X15" i="2"/>
  <c r="X18" i="2" s="1"/>
  <c r="X19" i="2" s="1"/>
  <c r="X21" i="2" s="1"/>
  <c r="X23" i="2" s="1"/>
  <c r="X24" i="2" s="1"/>
  <c r="W15" i="2"/>
  <c r="W18" i="2" s="1"/>
  <c r="W19" i="2" s="1"/>
  <c r="W21" i="2" s="1"/>
  <c r="W23" i="2" s="1"/>
  <c r="W24" i="2" s="1"/>
  <c r="V17" i="2"/>
  <c r="V16" i="2"/>
  <c r="V15" i="2"/>
  <c r="X25" i="2"/>
  <c r="Y25" i="2" s="1"/>
  <c r="W25" i="2"/>
  <c r="V25" i="2"/>
  <c r="V18" i="2"/>
  <c r="V19" i="2" s="1"/>
  <c r="V21" i="2" s="1"/>
  <c r="V23" i="2" s="1"/>
  <c r="V24" i="2" s="1"/>
  <c r="Z14" i="2"/>
  <c r="Y14" i="2"/>
  <c r="X14" i="2"/>
  <c r="W14" i="2"/>
  <c r="V14" i="2"/>
  <c r="Z12" i="2"/>
  <c r="Y12" i="2"/>
  <c r="X12" i="2"/>
  <c r="W12" i="2"/>
  <c r="V12" i="2"/>
  <c r="P28" i="2"/>
  <c r="Q28" i="2"/>
  <c r="R28" i="2"/>
  <c r="S28" i="2"/>
  <c r="T28" i="2"/>
  <c r="U28" i="2"/>
  <c r="O28" i="2"/>
  <c r="R20" i="2"/>
  <c r="R14" i="2"/>
  <c r="S24" i="2"/>
  <c r="S23" i="2"/>
  <c r="S21" i="2"/>
  <c r="S20" i="2"/>
  <c r="S18" i="2"/>
  <c r="S19" i="2" s="1"/>
  <c r="S14" i="2"/>
  <c r="S29" i="2" s="1"/>
  <c r="O20" i="2"/>
  <c r="O14" i="2"/>
  <c r="P20" i="2"/>
  <c r="P14" i="2"/>
  <c r="T21" i="2"/>
  <c r="T23" i="2" s="1"/>
  <c r="T24" i="2" s="1"/>
  <c r="T19" i="2"/>
  <c r="T18" i="2"/>
  <c r="T14" i="2"/>
  <c r="U36" i="2"/>
  <c r="T36" i="2"/>
  <c r="S36" i="2"/>
  <c r="R36" i="2"/>
  <c r="Q36" i="2"/>
  <c r="P36" i="2"/>
  <c r="U29" i="2"/>
  <c r="T29" i="2"/>
  <c r="U27" i="2"/>
  <c r="T27" i="2"/>
  <c r="S27" i="2"/>
  <c r="R27" i="2"/>
  <c r="Q27" i="2"/>
  <c r="P27" i="2"/>
  <c r="O27" i="2"/>
  <c r="L6" i="1"/>
  <c r="L5" i="1"/>
  <c r="Q20" i="2"/>
  <c r="Q14" i="2"/>
  <c r="U20" i="2"/>
  <c r="U18" i="2"/>
  <c r="U19" i="2" s="1"/>
  <c r="U21" i="2" s="1"/>
  <c r="U23" i="2" s="1"/>
  <c r="U24" i="2" s="1"/>
  <c r="U14" i="2"/>
  <c r="U33" i="2"/>
  <c r="N36" i="2"/>
  <c r="AF27" i="2"/>
  <c r="AE27" i="2"/>
  <c r="AD27" i="2"/>
  <c r="Y15" i="2" l="1"/>
  <c r="Z25" i="2"/>
  <c r="M8" i="2"/>
  <c r="L8" i="2"/>
  <c r="K8" i="2"/>
  <c r="J8" i="2"/>
  <c r="I8" i="2"/>
  <c r="N8" i="2"/>
  <c r="AI25" i="2"/>
  <c r="AI22" i="2"/>
  <c r="AI17" i="2"/>
  <c r="AI16" i="2"/>
  <c r="AI15" i="2"/>
  <c r="AI13" i="2"/>
  <c r="AI12" i="2"/>
  <c r="J33" i="2"/>
  <c r="R18" i="2"/>
  <c r="Q18" i="2"/>
  <c r="P18" i="2"/>
  <c r="O18" i="2"/>
  <c r="O29" i="2"/>
  <c r="N27" i="2"/>
  <c r="N33" i="2"/>
  <c r="R29" i="2"/>
  <c r="Q29" i="2"/>
  <c r="P29" i="2"/>
  <c r="N20" i="2"/>
  <c r="N18" i="2"/>
  <c r="N14" i="2"/>
  <c r="N29" i="2" s="1"/>
  <c r="N3" i="2"/>
  <c r="M3" i="2"/>
  <c r="L3" i="2"/>
  <c r="K3" i="2"/>
  <c r="J3" i="2"/>
  <c r="J28" i="2" s="1"/>
  <c r="I3" i="2"/>
  <c r="L28" i="2"/>
  <c r="H28" i="2"/>
  <c r="I28" i="2"/>
  <c r="K28" i="2"/>
  <c r="M36" i="2"/>
  <c r="L36" i="2"/>
  <c r="K36" i="2"/>
  <c r="M20" i="2"/>
  <c r="M18" i="2"/>
  <c r="M14" i="2"/>
  <c r="M29" i="2" s="1"/>
  <c r="M27" i="2"/>
  <c r="L4" i="1"/>
  <c r="AG27" i="2"/>
  <c r="AF20" i="2"/>
  <c r="AF18" i="2"/>
  <c r="AF14" i="2"/>
  <c r="AH22" i="2"/>
  <c r="AH16" i="2"/>
  <c r="AH17" i="2"/>
  <c r="AH15" i="2"/>
  <c r="AH13" i="2"/>
  <c r="AH12" i="2"/>
  <c r="AG20" i="2"/>
  <c r="AG14" i="2"/>
  <c r="AG18" i="2"/>
  <c r="AE2" i="2"/>
  <c r="AF2" i="2" s="1"/>
  <c r="AG2" i="2" s="1"/>
  <c r="AH2" i="2" s="1"/>
  <c r="AI2" i="2" s="1"/>
  <c r="AJ2" i="2" s="1"/>
  <c r="AK2" i="2" s="1"/>
  <c r="AL2" i="2" s="1"/>
  <c r="I27" i="2"/>
  <c r="F20" i="2"/>
  <c r="J20" i="2"/>
  <c r="E20" i="2"/>
  <c r="E18" i="2"/>
  <c r="E14" i="2"/>
  <c r="I20" i="2"/>
  <c r="I18" i="2"/>
  <c r="I14" i="2"/>
  <c r="F18" i="2"/>
  <c r="F14" i="2"/>
  <c r="F29" i="2" s="1"/>
  <c r="J27" i="2"/>
  <c r="J18" i="2"/>
  <c r="J14" i="2"/>
  <c r="J29" i="2" s="1"/>
  <c r="G20" i="2"/>
  <c r="G18" i="2"/>
  <c r="G14" i="2"/>
  <c r="G29" i="2" s="1"/>
  <c r="K27" i="2"/>
  <c r="H20" i="2"/>
  <c r="L20" i="2"/>
  <c r="K20" i="2"/>
  <c r="K18" i="2"/>
  <c r="K14" i="2"/>
  <c r="K29" i="2" s="1"/>
  <c r="L33" i="2"/>
  <c r="L27" i="2"/>
  <c r="H18" i="2"/>
  <c r="H14" i="2"/>
  <c r="H29" i="2" s="1"/>
  <c r="L18" i="2"/>
  <c r="L14" i="2"/>
  <c r="L29" i="2" s="1"/>
  <c r="Y18" i="2" l="1"/>
  <c r="Y19" i="2" s="1"/>
  <c r="Y21" i="2" s="1"/>
  <c r="Y23" i="2" s="1"/>
  <c r="Y24" i="2" s="1"/>
  <c r="Z15" i="2"/>
  <c r="Z18" i="2" s="1"/>
  <c r="Z19" i="2" s="1"/>
  <c r="Z21" i="2" s="1"/>
  <c r="Z23" i="2" s="1"/>
  <c r="Z24" i="2" s="1"/>
  <c r="AI18" i="2"/>
  <c r="AH14" i="2"/>
  <c r="I19" i="2"/>
  <c r="I21" i="2" s="1"/>
  <c r="I23" i="2" s="1"/>
  <c r="I24" i="2" s="1"/>
  <c r="AI20" i="2"/>
  <c r="AI27" i="2"/>
  <c r="N28" i="2"/>
  <c r="AI14" i="2"/>
  <c r="AI19" i="2" s="1"/>
  <c r="AI21" i="2" s="1"/>
  <c r="AI23" i="2" s="1"/>
  <c r="AI24" i="2" s="1"/>
  <c r="AJ12" i="2"/>
  <c r="R19" i="2"/>
  <c r="R21" i="2" s="1"/>
  <c r="R23" i="2" s="1"/>
  <c r="R24" i="2" s="1"/>
  <c r="O19" i="2"/>
  <c r="O21" i="2" s="1"/>
  <c r="Q19" i="2"/>
  <c r="Q21" i="2" s="1"/>
  <c r="M28" i="2"/>
  <c r="N19" i="2"/>
  <c r="N21" i="2" s="1"/>
  <c r="N23" i="2" s="1"/>
  <c r="N24" i="2" s="1"/>
  <c r="P19" i="2"/>
  <c r="P21" i="2" s="1"/>
  <c r="AH20" i="2"/>
  <c r="AH27" i="2"/>
  <c r="E19" i="2"/>
  <c r="E21" i="2" s="1"/>
  <c r="E23" i="2" s="1"/>
  <c r="E24" i="2" s="1"/>
  <c r="I29" i="2"/>
  <c r="AG19" i="2"/>
  <c r="AG21" i="2" s="1"/>
  <c r="AG23" i="2" s="1"/>
  <c r="AG24" i="2" s="1"/>
  <c r="AH18" i="2"/>
  <c r="AH19" i="2" s="1"/>
  <c r="M19" i="2"/>
  <c r="M21" i="2" s="1"/>
  <c r="M23" i="2" s="1"/>
  <c r="M24" i="2" s="1"/>
  <c r="L7" i="1"/>
  <c r="AF19" i="2"/>
  <c r="AF21" i="2" s="1"/>
  <c r="AF23" i="2" s="1"/>
  <c r="AF24" i="2" s="1"/>
  <c r="K19" i="2"/>
  <c r="K21" i="2" s="1"/>
  <c r="K23" i="2" s="1"/>
  <c r="K24" i="2" s="1"/>
  <c r="F19" i="2"/>
  <c r="F21" i="2" s="1"/>
  <c r="F23" i="2" s="1"/>
  <c r="F24" i="2" s="1"/>
  <c r="J19" i="2"/>
  <c r="J21" i="2" s="1"/>
  <c r="J23" i="2" s="1"/>
  <c r="J24" i="2" s="1"/>
  <c r="G19" i="2"/>
  <c r="G21" i="2" s="1"/>
  <c r="G23" i="2" s="1"/>
  <c r="G24" i="2" s="1"/>
  <c r="L19" i="2"/>
  <c r="L21" i="2" s="1"/>
  <c r="L23" i="2" s="1"/>
  <c r="L24" i="2" s="1"/>
  <c r="H19" i="2"/>
  <c r="H21" i="2" s="1"/>
  <c r="H23" i="2" s="1"/>
  <c r="H24" i="2" s="1"/>
  <c r="AH21" i="2" l="1"/>
  <c r="AH23" i="2" s="1"/>
  <c r="AH24" i="2" s="1"/>
  <c r="P23" i="2"/>
  <c r="P24" i="2" s="1"/>
  <c r="Q23" i="2"/>
  <c r="Q24" i="2" s="1"/>
  <c r="O23" i="2"/>
  <c r="O24" i="2" s="1"/>
</calcChain>
</file>

<file path=xl/sharedStrings.xml><?xml version="1.0" encoding="utf-8"?>
<sst xmlns="http://schemas.openxmlformats.org/spreadsheetml/2006/main" count="72" uniqueCount="67">
  <si>
    <t>Price</t>
  </si>
  <si>
    <t>Shares</t>
  </si>
  <si>
    <t>MC</t>
  </si>
  <si>
    <t>Cash</t>
  </si>
  <si>
    <t>Debt</t>
  </si>
  <si>
    <t>EV</t>
  </si>
  <si>
    <t>Q222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</si>
  <si>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</si>
  <si>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</si>
  <si>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</si>
  <si>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</si>
  <si>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</si>
  <si>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</si>
  <si>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</si>
  <si>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</si>
  <si>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</si>
  <si>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</si>
  <si>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</si>
  <si>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</si>
  <si>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</si>
  <si>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COGS</t>
  </si>
  <si>
    <t>Gross Margin</t>
  </si>
  <si>
    <t>R&amp;D</t>
  </si>
  <si>
    <t>S&amp;M</t>
  </si>
  <si>
    <t>G&amp;A</t>
  </si>
  <si>
    <t>OpEx</t>
  </si>
  <si>
    <t>OpInc</t>
  </si>
  <si>
    <t>Interest</t>
  </si>
  <si>
    <t>Pretax</t>
  </si>
  <si>
    <t>Taxes</t>
  </si>
  <si>
    <t>Net Income</t>
  </si>
  <si>
    <t>EPS</t>
  </si>
  <si>
    <t>Revenue Growth</t>
  </si>
  <si>
    <t>FCF</t>
  </si>
  <si>
    <t>CapEx</t>
  </si>
  <si>
    <t>CFFO</t>
  </si>
  <si>
    <t>DAU</t>
  </si>
  <si>
    <t>US DAU</t>
  </si>
  <si>
    <t>EU DAU</t>
  </si>
  <si>
    <t>ROW DAU</t>
  </si>
  <si>
    <t>Headcount</t>
  </si>
  <si>
    <t>DAU Growth</t>
  </si>
  <si>
    <t>Q123</t>
  </si>
  <si>
    <t>Q223</t>
  </si>
  <si>
    <t>Q323</t>
  </si>
  <si>
    <t>Q423</t>
  </si>
  <si>
    <t>US Revenue</t>
  </si>
  <si>
    <t>EU Revenue</t>
  </si>
  <si>
    <t>US ARPU</t>
  </si>
  <si>
    <t>Snapchat+</t>
  </si>
  <si>
    <t>2 million paying subscribers</t>
  </si>
  <si>
    <t>Custom Story Expiration</t>
  </si>
  <si>
    <t>Custom Notification Sounds</t>
  </si>
  <si>
    <t>BigCommerce</t>
  </si>
  <si>
    <t>Smartly.io</t>
  </si>
  <si>
    <t>300,000 AR creators, 3 million AR lenses</t>
  </si>
  <si>
    <t>Lens Studio</t>
  </si>
  <si>
    <t>Spotlight</t>
  </si>
  <si>
    <t>Bitmoji</t>
  </si>
  <si>
    <t>Q124</t>
  </si>
  <si>
    <t>Q224</t>
  </si>
  <si>
    <t>Q324</t>
  </si>
  <si>
    <t>Q424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</si>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</sst>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42299D3-6A0C-4DAB-984C-BB03264CE4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58340</xdr:colOff>
      <xdr:row>0</xdr:row>
      <xdr:rowOff>0</xdr:rowOff>
    </xdr:from>
    <xdr:to>
      <xdr:col>21</xdr:col>
      <xdr:colOff>58340</xdr:colOff>
      <xdr:row>40</xdr:row>
      <xdr:rowOff>3572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DE861D2-15EA-13E3-B7EF-52CC528A2769}"/>
            </a:ext>
          </a:extLst>
        </xdr:cNvPr>
        <xdr:cNvCxnSpPr/>
      </xdr:nvCxnSpPr>
      <xdr:spPr>
        <a:xfrm>
          <a:off x="12940903" y="0"/>
          <a:ext cx="0" cy="6432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0</xdr:row>
      <xdr:rowOff>11907</xdr:rowOff>
    </xdr:from>
    <xdr:to>
      <xdr:col>36</xdr:col>
      <xdr:colOff>38100</xdr:colOff>
      <xdr:row>34</xdr:row>
      <xdr:rowOff>78582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12D1156-06F8-4683-87B3-11DBEC0957F5}"/>
            </a:ext>
          </a:extLst>
        </xdr:cNvPr>
        <xdr:cNvCxnSpPr/>
      </xdr:nvCxnSpPr>
      <xdr:spPr>
        <a:xfrm>
          <a:off x="22028944" y="11907"/>
          <a:ext cx="0" cy="5531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5157-91F5-47CC-BA2A-C0CCFCCECC0F}">
  <dimension ref="B2:M15"/>
  <sheetViews>
    <sheetView zoomScaleNormal="100" workbookViewId="0">
      <selection activeCell="M7" sqref="M7"/>
    </sheetView>
  </sheetViews>
  <sheetFormatPr defaultRowHeight="12.75" x14ac:dyDescent="0.2"/>
  <sheetData>
    <row r="2" spans="2:13" x14ac:dyDescent="0.2">
      <c r="B2" t="s">
        <v>49</v>
      </c>
      <c r="K2" t="s">
        <v>0</v>
      </c>
      <c r="L2" s="6">
        <v>11.28</v>
      </c>
    </row>
    <row r="3" spans="2:13" x14ac:dyDescent="0.2">
      <c r="C3" t="s">
        <v>50</v>
      </c>
      <c r="K3" t="s">
        <v>1</v>
      </c>
      <c r="L3" s="2">
        <v>1663</v>
      </c>
      <c r="M3" s="1" t="s">
        <v>61</v>
      </c>
    </row>
    <row r="4" spans="2:13" x14ac:dyDescent="0.2">
      <c r="C4" t="s">
        <v>51</v>
      </c>
      <c r="K4" t="s">
        <v>2</v>
      </c>
      <c r="L4" s="2">
        <f>+L2*L3</f>
        <v>18758.64</v>
      </c>
      <c r="M4" s="1"/>
    </row>
    <row r="5" spans="2:13" x14ac:dyDescent="0.2">
      <c r="C5" t="s">
        <v>52</v>
      </c>
      <c r="K5" t="s">
        <v>3</v>
      </c>
      <c r="L5" s="2">
        <f>964.967+2227.162</f>
        <v>3192.1289999999999</v>
      </c>
      <c r="M5" s="1" t="s">
        <v>61</v>
      </c>
    </row>
    <row r="6" spans="2:13" x14ac:dyDescent="0.2">
      <c r="K6" t="s">
        <v>4</v>
      </c>
      <c r="L6" s="2">
        <f>3605.137+36.191</f>
        <v>3641.328</v>
      </c>
      <c r="M6" s="1" t="s">
        <v>61</v>
      </c>
    </row>
    <row r="7" spans="2:13" x14ac:dyDescent="0.2">
      <c r="B7" t="s">
        <v>53</v>
      </c>
      <c r="K7" t="s">
        <v>5</v>
      </c>
      <c r="L7" s="2">
        <f>+L4-L5+L6</f>
        <v>19207.839</v>
      </c>
    </row>
    <row r="8" spans="2:13" x14ac:dyDescent="0.2">
      <c r="B8" t="s">
        <v>54</v>
      </c>
    </row>
    <row r="10" spans="2:13" x14ac:dyDescent="0.2">
      <c r="B10" t="s">
        <v>55</v>
      </c>
    </row>
    <row r="11" spans="2:13" x14ac:dyDescent="0.2">
      <c r="B11" t="s">
        <v>56</v>
      </c>
    </row>
    <row r="13" spans="2:13" x14ac:dyDescent="0.2">
      <c r="B13" s="11" t="s">
        <v>57</v>
      </c>
    </row>
    <row r="15" spans="2:13" x14ac:dyDescent="0.2">
      <c r="B15" s="11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503D-F2D4-4640-BE5F-CC163C3A9620}">
  <dimension ref="A1:AL36"/>
  <sheetViews>
    <sheetView tabSelected="1" zoomScaleNormal="10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U35" sqref="U35"/>
    </sheetView>
  </sheetViews>
  <sheetFormatPr defaultRowHeight="12.75" x14ac:dyDescent="0.2"/>
  <cols>
    <col min="1" max="1" width="5" bestFit="1" customWidth="1"/>
    <col min="2" max="2" width="15.140625" customWidth="1"/>
    <col min="3" max="14" width="9.140625" style="1"/>
  </cols>
  <sheetData>
    <row r="1" spans="1:38" x14ac:dyDescent="0.2">
      <c r="A1" s="10" t="s">
        <v>7</v>
      </c>
    </row>
    <row r="2" spans="1:38" x14ac:dyDescent="0.2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6</v>
      </c>
      <c r="M2" s="1" t="s">
        <v>18</v>
      </c>
      <c r="N2" s="1" t="s">
        <v>19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/>
      <c r="AB2" s="1"/>
      <c r="AC2">
        <v>2016</v>
      </c>
      <c r="AD2">
        <v>2017</v>
      </c>
      <c r="AE2">
        <f>+AD2+1</f>
        <v>2018</v>
      </c>
      <c r="AF2">
        <f t="shared" ref="AF2:AL2" si="0">+AE2+1</f>
        <v>2019</v>
      </c>
      <c r="AG2">
        <f t="shared" si="0"/>
        <v>2020</v>
      </c>
      <c r="AH2">
        <f t="shared" si="0"/>
        <v>2021</v>
      </c>
      <c r="AI2">
        <f t="shared" si="0"/>
        <v>2022</v>
      </c>
      <c r="AJ2">
        <f t="shared" si="0"/>
        <v>2023</v>
      </c>
      <c r="AK2">
        <f t="shared" si="0"/>
        <v>2024</v>
      </c>
      <c r="AL2">
        <f t="shared" si="0"/>
        <v>2025</v>
      </c>
    </row>
    <row r="3" spans="1:38" s="2" customFormat="1" x14ac:dyDescent="0.2">
      <c r="B3" s="2" t="s">
        <v>36</v>
      </c>
      <c r="C3" s="3"/>
      <c r="D3" s="3">
        <v>238</v>
      </c>
      <c r="E3" s="3">
        <v>249</v>
      </c>
      <c r="F3" s="3">
        <v>265</v>
      </c>
      <c r="G3" s="3">
        <v>280</v>
      </c>
      <c r="H3" s="3">
        <v>293</v>
      </c>
      <c r="I3" s="3">
        <f t="shared" ref="I3:N3" si="1">SUM(I4:I6)</f>
        <v>306</v>
      </c>
      <c r="J3" s="3">
        <f t="shared" si="1"/>
        <v>319</v>
      </c>
      <c r="K3" s="3">
        <f t="shared" si="1"/>
        <v>332</v>
      </c>
      <c r="L3" s="3">
        <f t="shared" si="1"/>
        <v>347</v>
      </c>
      <c r="M3" s="3">
        <f t="shared" si="1"/>
        <v>363</v>
      </c>
      <c r="N3" s="3">
        <f t="shared" si="1"/>
        <v>375</v>
      </c>
      <c r="O3" s="3">
        <v>383</v>
      </c>
      <c r="P3" s="3">
        <v>397</v>
      </c>
      <c r="Q3" s="3">
        <v>406</v>
      </c>
      <c r="R3" s="3">
        <v>414</v>
      </c>
      <c r="S3" s="3">
        <v>422</v>
      </c>
      <c r="T3" s="3">
        <v>432</v>
      </c>
      <c r="U3" s="3">
        <v>443</v>
      </c>
      <c r="V3" s="3"/>
      <c r="W3" s="3"/>
      <c r="X3" s="3"/>
      <c r="Y3" s="3"/>
      <c r="Z3" s="3"/>
      <c r="AA3" s="3"/>
    </row>
    <row r="4" spans="1:38" s="2" customFormat="1" x14ac:dyDescent="0.2">
      <c r="B4" s="2" t="s">
        <v>37</v>
      </c>
      <c r="C4" s="3"/>
      <c r="D4" s="3">
        <v>90</v>
      </c>
      <c r="E4" s="3">
        <v>90</v>
      </c>
      <c r="F4" s="3">
        <v>92</v>
      </c>
      <c r="G4" s="3">
        <v>93</v>
      </c>
      <c r="H4" s="3">
        <v>95</v>
      </c>
      <c r="I4" s="3">
        <v>96</v>
      </c>
      <c r="J4" s="3">
        <v>97</v>
      </c>
      <c r="K4" s="3">
        <v>98</v>
      </c>
      <c r="L4" s="3">
        <v>99</v>
      </c>
      <c r="M4" s="3">
        <v>100</v>
      </c>
      <c r="N4" s="3">
        <v>100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38" s="2" customFormat="1" x14ac:dyDescent="0.2">
      <c r="B5" s="2" t="s">
        <v>38</v>
      </c>
      <c r="C5" s="3"/>
      <c r="D5" s="3">
        <v>71</v>
      </c>
      <c r="E5" s="3">
        <v>72</v>
      </c>
      <c r="F5" s="3">
        <v>74</v>
      </c>
      <c r="G5" s="3">
        <v>77</v>
      </c>
      <c r="H5" s="3">
        <v>78</v>
      </c>
      <c r="I5" s="3">
        <v>80</v>
      </c>
      <c r="J5" s="3">
        <v>82</v>
      </c>
      <c r="K5" s="3">
        <v>84</v>
      </c>
      <c r="L5" s="3">
        <v>86</v>
      </c>
      <c r="M5" s="3">
        <v>88</v>
      </c>
      <c r="N5" s="3">
        <v>92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38" s="2" customFormat="1" x14ac:dyDescent="0.2">
      <c r="B6" s="2" t="s">
        <v>39</v>
      </c>
      <c r="C6" s="3"/>
      <c r="D6" s="3">
        <v>77</v>
      </c>
      <c r="E6" s="3">
        <v>87</v>
      </c>
      <c r="F6" s="3">
        <v>99</v>
      </c>
      <c r="G6" s="3">
        <v>111</v>
      </c>
      <c r="H6" s="3">
        <v>120</v>
      </c>
      <c r="I6" s="3">
        <v>130</v>
      </c>
      <c r="J6" s="3">
        <v>140</v>
      </c>
      <c r="K6" s="3">
        <v>150</v>
      </c>
      <c r="L6" s="3">
        <v>162</v>
      </c>
      <c r="M6" s="3">
        <v>175</v>
      </c>
      <c r="N6" s="3">
        <v>183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38" s="2" customFormat="1" x14ac:dyDescent="0.2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38" s="2" customFormat="1" x14ac:dyDescent="0.2">
      <c r="B8" s="2" t="s">
        <v>48</v>
      </c>
      <c r="C8" s="3"/>
      <c r="D8" s="3"/>
      <c r="E8" s="3"/>
      <c r="F8" s="3"/>
      <c r="G8" s="3"/>
      <c r="H8" s="3"/>
      <c r="I8" s="4">
        <f t="shared" ref="I8:M8" si="2">+I11/I4</f>
        <v>8.1970520833333342</v>
      </c>
      <c r="J8" s="4">
        <f t="shared" si="2"/>
        <v>9.6090412371134022</v>
      </c>
      <c r="K8" s="4">
        <f t="shared" si="2"/>
        <v>7.7373571428571424</v>
      </c>
      <c r="L8" s="4">
        <f t="shared" si="2"/>
        <v>7.9361717171717174</v>
      </c>
      <c r="M8" s="4">
        <f t="shared" si="2"/>
        <v>8.1160199999999989</v>
      </c>
      <c r="N8" s="4">
        <f>+N11/N4</f>
        <v>8.8030999999999988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38" s="2" customFormat="1" x14ac:dyDescent="0.2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38" s="2" customFormat="1" x14ac:dyDescent="0.2">
      <c r="B10" s="2" t="s">
        <v>47</v>
      </c>
      <c r="C10" s="3"/>
      <c r="D10" s="3"/>
      <c r="E10" s="3"/>
      <c r="F10" s="3"/>
      <c r="G10" s="3"/>
      <c r="H10" s="3"/>
      <c r="I10" s="3">
        <v>153.12100000000001</v>
      </c>
      <c r="J10" s="3">
        <v>208.91200000000001</v>
      </c>
      <c r="K10" s="3">
        <v>162.13200000000001</v>
      </c>
      <c r="L10" s="3">
        <v>170.09700000000001</v>
      </c>
      <c r="M10" s="3">
        <v>161.39599999999999</v>
      </c>
      <c r="N10" s="3">
        <v>218.55199999999999</v>
      </c>
    </row>
    <row r="11" spans="1:38" s="2" customFormat="1" x14ac:dyDescent="0.2">
      <c r="B11" s="2" t="s">
        <v>46</v>
      </c>
      <c r="C11" s="3"/>
      <c r="D11" s="3"/>
      <c r="E11" s="3"/>
      <c r="F11" s="3"/>
      <c r="G11" s="3"/>
      <c r="H11" s="3"/>
      <c r="I11" s="3">
        <v>786.91700000000003</v>
      </c>
      <c r="J11" s="3">
        <v>932.077</v>
      </c>
      <c r="K11" s="3">
        <v>758.26099999999997</v>
      </c>
      <c r="L11" s="3">
        <v>785.68100000000004</v>
      </c>
      <c r="M11" s="3">
        <v>811.60199999999998</v>
      </c>
      <c r="N11" s="3">
        <v>880.31</v>
      </c>
    </row>
    <row r="12" spans="1:38" s="7" customFormat="1" x14ac:dyDescent="0.2">
      <c r="B12" s="7" t="s">
        <v>8</v>
      </c>
      <c r="C12" s="8"/>
      <c r="D12" s="8"/>
      <c r="E12" s="8">
        <v>678.66800000000001</v>
      </c>
      <c r="F12" s="8">
        <v>911.322</v>
      </c>
      <c r="G12" s="8">
        <v>769.58399999999995</v>
      </c>
      <c r="H12" s="8">
        <v>982.10799999999995</v>
      </c>
      <c r="I12" s="8">
        <v>1067.471</v>
      </c>
      <c r="J12" s="8">
        <v>1297.885</v>
      </c>
      <c r="K12" s="8">
        <v>1062.7270000000001</v>
      </c>
      <c r="L12" s="8">
        <v>1110.9090000000001</v>
      </c>
      <c r="M12" s="8">
        <v>1128.4760000000001</v>
      </c>
      <c r="N12" s="8">
        <v>1300</v>
      </c>
      <c r="O12" s="7">
        <v>988.60799999999995</v>
      </c>
      <c r="P12" s="7">
        <v>1067.6690000000001</v>
      </c>
      <c r="Q12" s="7">
        <v>1189</v>
      </c>
      <c r="R12" s="7">
        <v>1361.287</v>
      </c>
      <c r="S12" s="7">
        <v>1194.7729999999999</v>
      </c>
      <c r="T12" s="7">
        <v>1263.768</v>
      </c>
      <c r="U12" s="7">
        <v>1373</v>
      </c>
      <c r="V12" s="7">
        <f>+R12*1.05</f>
        <v>1429.3513500000001</v>
      </c>
      <c r="W12" s="7">
        <f>+S12*1.05</f>
        <v>1254.5116499999999</v>
      </c>
      <c r="X12" s="7">
        <f>+T12*1.05</f>
        <v>1326.9564</v>
      </c>
      <c r="Y12" s="7">
        <f>+U12*1.05</f>
        <v>1441.65</v>
      </c>
      <c r="Z12" s="7">
        <f>+V12*1.05</f>
        <v>1500.8189175000002</v>
      </c>
      <c r="AC12" s="7">
        <v>404.48200000000003</v>
      </c>
      <c r="AD12" s="7">
        <v>824.94899999999996</v>
      </c>
      <c r="AE12" s="7">
        <v>1180.4459999999999</v>
      </c>
      <c r="AF12" s="7">
        <v>1715.5340000000001</v>
      </c>
      <c r="AG12" s="7">
        <v>2506.6260000000002</v>
      </c>
      <c r="AH12" s="7">
        <f>SUM(G12:J12)</f>
        <v>4117.0479999999998</v>
      </c>
      <c r="AI12" s="7">
        <f>SUM(K12:N12)</f>
        <v>4602.112000000001</v>
      </c>
      <c r="AJ12" s="7">
        <f>SUM(O12:R12)</f>
        <v>4606.5640000000003</v>
      </c>
      <c r="AK12" s="7">
        <f>SUM(S12:V12)</f>
        <v>5260.8923500000001</v>
      </c>
      <c r="AL12" s="7">
        <f>SUM(W12:Z12)</f>
        <v>5523.9369674999998</v>
      </c>
    </row>
    <row r="13" spans="1:38" s="2" customFormat="1" x14ac:dyDescent="0.2">
      <c r="B13" s="2" t="s">
        <v>20</v>
      </c>
      <c r="C13" s="3"/>
      <c r="D13" s="3"/>
      <c r="E13" s="3">
        <v>293.09500000000003</v>
      </c>
      <c r="F13" s="3">
        <v>385.54599999999999</v>
      </c>
      <c r="G13" s="3">
        <v>412.601</v>
      </c>
      <c r="H13" s="3">
        <v>445.02100000000002</v>
      </c>
      <c r="I13" s="3">
        <v>443.47300000000001</v>
      </c>
      <c r="J13" s="3">
        <v>449.15100000000001</v>
      </c>
      <c r="K13" s="3">
        <v>420.89699999999999</v>
      </c>
      <c r="L13" s="3">
        <v>446.37700000000001</v>
      </c>
      <c r="M13" s="3">
        <v>466.75700000000001</v>
      </c>
      <c r="N13" s="3">
        <v>481.31099999999998</v>
      </c>
      <c r="O13" s="2">
        <v>439.98599999999999</v>
      </c>
      <c r="P13" s="2">
        <v>496.87400000000002</v>
      </c>
      <c r="Q13" s="2">
        <v>555.75300000000004</v>
      </c>
      <c r="R13" s="2">
        <v>621.50400000000002</v>
      </c>
      <c r="S13" s="2">
        <v>574.74900000000002</v>
      </c>
      <c r="T13" s="2">
        <v>588.92100000000005</v>
      </c>
      <c r="U13" s="2">
        <v>638.90700000000004</v>
      </c>
      <c r="AF13" s="2">
        <v>895.83799999999997</v>
      </c>
      <c r="AG13" s="2">
        <v>1182.5050000000001</v>
      </c>
      <c r="AH13" s="2">
        <f>SUM(G13:J13)</f>
        <v>1750.2460000000001</v>
      </c>
      <c r="AI13" s="2">
        <f>SUM(K13:N13)</f>
        <v>1815.3419999999999</v>
      </c>
    </row>
    <row r="14" spans="1:38" s="2" customFormat="1" x14ac:dyDescent="0.2">
      <c r="B14" s="2" t="s">
        <v>21</v>
      </c>
      <c r="C14" s="3"/>
      <c r="D14" s="3"/>
      <c r="E14" s="3">
        <f t="shared" ref="E14" si="3">+E12-E13</f>
        <v>385.57299999999998</v>
      </c>
      <c r="F14" s="3">
        <f t="shared" ref="F14:G14" si="4">+F12-F13</f>
        <v>525.77600000000007</v>
      </c>
      <c r="G14" s="3">
        <f t="shared" si="4"/>
        <v>356.98299999999995</v>
      </c>
      <c r="H14" s="3">
        <f>+H12-H13</f>
        <v>537.08699999999999</v>
      </c>
      <c r="I14" s="3">
        <f t="shared" ref="I14" si="5">+I12-I13</f>
        <v>623.99800000000005</v>
      </c>
      <c r="J14" s="3">
        <f t="shared" ref="J14" si="6">+J12-J13</f>
        <v>848.73399999999992</v>
      </c>
      <c r="K14" s="3">
        <f t="shared" ref="K14:U14" si="7">+K12-K13</f>
        <v>641.83000000000015</v>
      </c>
      <c r="L14" s="3">
        <f t="shared" si="7"/>
        <v>664.53200000000015</v>
      </c>
      <c r="M14" s="3">
        <f t="shared" si="7"/>
        <v>661.71900000000005</v>
      </c>
      <c r="N14" s="3">
        <f t="shared" si="7"/>
        <v>818.68900000000008</v>
      </c>
      <c r="O14" s="2">
        <f t="shared" si="7"/>
        <v>548.62199999999996</v>
      </c>
      <c r="P14" s="2">
        <f t="shared" si="7"/>
        <v>570.79500000000007</v>
      </c>
      <c r="Q14" s="2">
        <f t="shared" si="7"/>
        <v>633.24699999999996</v>
      </c>
      <c r="R14" s="2">
        <f t="shared" si="7"/>
        <v>739.78300000000002</v>
      </c>
      <c r="S14" s="2">
        <f t="shared" si="7"/>
        <v>620.02399999999989</v>
      </c>
      <c r="T14" s="2">
        <f t="shared" si="7"/>
        <v>674.84699999999998</v>
      </c>
      <c r="U14" s="2">
        <f t="shared" si="7"/>
        <v>734.09299999999996</v>
      </c>
      <c r="V14" s="2">
        <f>+V12*0.6</f>
        <v>857.61081000000001</v>
      </c>
      <c r="W14" s="2">
        <f>+W12*0.6</f>
        <v>752.70698999999991</v>
      </c>
      <c r="X14" s="2">
        <f>+X12*0.6</f>
        <v>796.17384000000004</v>
      </c>
      <c r="Y14" s="2">
        <f>+Y12*0.6</f>
        <v>864.99</v>
      </c>
      <c r="Z14" s="2">
        <f>+Z12*0.6</f>
        <v>900.49135050000007</v>
      </c>
      <c r="AF14" s="2">
        <f t="shared" ref="AF14" si="8">+AF12-AF13</f>
        <v>819.69600000000014</v>
      </c>
      <c r="AG14" s="2">
        <f>+AG12-AG13</f>
        <v>1324.1210000000001</v>
      </c>
      <c r="AH14" s="2">
        <f>+AH12-AH13</f>
        <v>2366.8019999999997</v>
      </c>
      <c r="AI14" s="2">
        <f>+AI12-AI13</f>
        <v>2786.7700000000013</v>
      </c>
    </row>
    <row r="15" spans="1:38" s="2" customFormat="1" x14ac:dyDescent="0.2">
      <c r="B15" s="2" t="s">
        <v>22</v>
      </c>
      <c r="C15" s="3"/>
      <c r="D15" s="3"/>
      <c r="E15" s="3">
        <v>283.63900000000001</v>
      </c>
      <c r="F15" s="3">
        <v>318.44600000000003</v>
      </c>
      <c r="G15" s="3">
        <v>348.58</v>
      </c>
      <c r="H15" s="3">
        <v>370.67099999999999</v>
      </c>
      <c r="I15" s="3">
        <v>412.02100000000002</v>
      </c>
      <c r="J15" s="3">
        <v>434.19499999999999</v>
      </c>
      <c r="K15" s="3">
        <v>455.56299999999999</v>
      </c>
      <c r="L15" s="3">
        <v>505.03699999999998</v>
      </c>
      <c r="M15" s="3">
        <v>564.25800000000004</v>
      </c>
      <c r="N15" s="3">
        <v>584.94200000000001</v>
      </c>
      <c r="O15" s="2">
        <v>455.11200000000002</v>
      </c>
      <c r="P15" s="2">
        <v>477.66300000000001</v>
      </c>
      <c r="Q15" s="2">
        <v>494.55900000000003</v>
      </c>
      <c r="R15" s="2">
        <v>483.52800000000002</v>
      </c>
      <c r="S15" s="2">
        <v>449.75900000000001</v>
      </c>
      <c r="T15" s="2">
        <v>406.19600000000003</v>
      </c>
      <c r="U15" s="2">
        <v>412.791</v>
      </c>
      <c r="V15" s="2">
        <f>+U15*0.95</f>
        <v>392.15144999999995</v>
      </c>
      <c r="W15" s="2">
        <f t="shared" ref="W15:Z15" si="9">+V15*0.95</f>
        <v>372.54387749999995</v>
      </c>
      <c r="X15" s="2">
        <f t="shared" si="9"/>
        <v>353.91668362499996</v>
      </c>
      <c r="Y15" s="2">
        <f t="shared" si="9"/>
        <v>336.22084944374996</v>
      </c>
      <c r="Z15" s="2">
        <f t="shared" si="9"/>
        <v>319.40980697156243</v>
      </c>
      <c r="AF15" s="2">
        <v>883.50900000000001</v>
      </c>
      <c r="AG15" s="2">
        <v>1101.5609999999999</v>
      </c>
      <c r="AH15" s="2">
        <f>SUM(G15:J15)</f>
        <v>1565.4669999999999</v>
      </c>
      <c r="AI15" s="2">
        <f t="shared" ref="AI15:AI17" si="10">SUM(K15:N15)</f>
        <v>2109.8000000000002</v>
      </c>
    </row>
    <row r="16" spans="1:38" s="2" customFormat="1" x14ac:dyDescent="0.2">
      <c r="B16" s="2" t="s">
        <v>23</v>
      </c>
      <c r="C16" s="3"/>
      <c r="D16" s="3"/>
      <c r="E16" s="3">
        <v>143.511</v>
      </c>
      <c r="F16" s="3">
        <v>157.63399999999999</v>
      </c>
      <c r="G16" s="3">
        <v>150.286</v>
      </c>
      <c r="H16" s="3">
        <v>179.72399999999999</v>
      </c>
      <c r="I16" s="3">
        <v>217.52600000000001</v>
      </c>
      <c r="J16" s="3">
        <v>245.22800000000001</v>
      </c>
      <c r="K16" s="3">
        <v>241.886</v>
      </c>
      <c r="L16" s="3">
        <v>311.37400000000002</v>
      </c>
      <c r="M16" s="3">
        <v>270.33600000000001</v>
      </c>
      <c r="N16" s="3">
        <v>295.14999999999998</v>
      </c>
      <c r="O16" s="2">
        <v>268.43299999999999</v>
      </c>
      <c r="P16" s="2">
        <v>280.59699999999998</v>
      </c>
      <c r="Q16" s="2">
        <v>297.25099999999998</v>
      </c>
      <c r="R16" s="2">
        <v>275.81099999999998</v>
      </c>
      <c r="S16" s="2">
        <v>276.03399999999999</v>
      </c>
      <c r="T16" s="2">
        <v>266.32</v>
      </c>
      <c r="U16" s="2">
        <v>273.10700000000003</v>
      </c>
      <c r="V16" s="2">
        <f t="shared" ref="V16:Z17" si="11">+U16*0.95</f>
        <v>259.45165000000003</v>
      </c>
      <c r="W16" s="2">
        <f t="shared" si="11"/>
        <v>246.47906750000001</v>
      </c>
      <c r="X16" s="2">
        <f t="shared" si="11"/>
        <v>234.15511412500001</v>
      </c>
      <c r="Y16" s="2">
        <f t="shared" si="11"/>
        <v>222.44735841875001</v>
      </c>
      <c r="Z16" s="2">
        <f t="shared" si="11"/>
        <v>211.32499049781251</v>
      </c>
      <c r="AF16" s="2">
        <v>458.59800000000001</v>
      </c>
      <c r="AG16" s="2">
        <v>555.46799999999996</v>
      </c>
      <c r="AH16" s="2">
        <f>SUM(G16:J16)</f>
        <v>792.76400000000012</v>
      </c>
      <c r="AI16" s="2">
        <f t="shared" si="10"/>
        <v>1118.7460000000001</v>
      </c>
    </row>
    <row r="17" spans="2:38" s="2" customFormat="1" x14ac:dyDescent="0.2">
      <c r="B17" s="2" t="s">
        <v>24</v>
      </c>
      <c r="C17" s="3"/>
      <c r="D17" s="3"/>
      <c r="E17" s="3">
        <v>126.28700000000001</v>
      </c>
      <c r="F17" s="3">
        <v>146.93199999999999</v>
      </c>
      <c r="G17" s="3">
        <v>161.72300000000001</v>
      </c>
      <c r="H17" s="3">
        <v>179.20400000000001</v>
      </c>
      <c r="I17" s="3">
        <v>175.27500000000001</v>
      </c>
      <c r="J17" s="3">
        <v>194.43799999999999</v>
      </c>
      <c r="K17" s="3">
        <v>215.90799999999999</v>
      </c>
      <c r="L17" s="3">
        <v>249.06100000000001</v>
      </c>
      <c r="M17" s="3">
        <v>262.36700000000002</v>
      </c>
      <c r="N17" s="3">
        <v>225.929</v>
      </c>
      <c r="O17" s="2">
        <v>190.34100000000001</v>
      </c>
      <c r="P17" s="2">
        <v>216.874</v>
      </c>
      <c r="Q17" s="2">
        <v>221.05099999999999</v>
      </c>
      <c r="R17" s="2">
        <v>229.15700000000001</v>
      </c>
      <c r="S17" s="2">
        <v>227.46299999999999</v>
      </c>
      <c r="T17" s="2">
        <v>229.30600000000001</v>
      </c>
      <c r="U17" s="2">
        <v>220.97900000000001</v>
      </c>
      <c r="V17" s="2">
        <f t="shared" si="11"/>
        <v>209.93004999999999</v>
      </c>
      <c r="W17" s="2">
        <f t="shared" si="11"/>
        <v>199.43354749999997</v>
      </c>
      <c r="X17" s="2">
        <f t="shared" si="11"/>
        <v>189.46187012499996</v>
      </c>
      <c r="Y17" s="2">
        <f t="shared" si="11"/>
        <v>179.98877661874997</v>
      </c>
      <c r="Z17" s="2">
        <f t="shared" si="11"/>
        <v>170.98933778781247</v>
      </c>
      <c r="AF17" s="2">
        <v>580.91700000000003</v>
      </c>
      <c r="AG17" s="2">
        <v>529.16399999999999</v>
      </c>
      <c r="AH17" s="2">
        <f>SUM(G17:J17)</f>
        <v>710.64</v>
      </c>
      <c r="AI17" s="2">
        <f t="shared" si="10"/>
        <v>953.26499999999999</v>
      </c>
    </row>
    <row r="18" spans="2:38" s="2" customFormat="1" x14ac:dyDescent="0.2">
      <c r="B18" s="2" t="s">
        <v>25</v>
      </c>
      <c r="C18" s="3"/>
      <c r="D18" s="3"/>
      <c r="E18" s="3">
        <f t="shared" ref="E18" si="12">SUM(E15:E17)</f>
        <v>553.43700000000001</v>
      </c>
      <c r="F18" s="3">
        <f t="shared" ref="F18:G18" si="13">SUM(F15:F17)</f>
        <v>623.01200000000006</v>
      </c>
      <c r="G18" s="3">
        <f t="shared" si="13"/>
        <v>660.58899999999994</v>
      </c>
      <c r="H18" s="3">
        <f>SUM(H15:H17)</f>
        <v>729.59899999999993</v>
      </c>
      <c r="I18" s="3">
        <f t="shared" ref="I18" si="14">SUM(I15:I17)</f>
        <v>804.822</v>
      </c>
      <c r="J18" s="3">
        <f t="shared" ref="J18" si="15">SUM(J15:J17)</f>
        <v>873.86099999999999</v>
      </c>
      <c r="K18" s="3">
        <f t="shared" ref="K18" si="16">SUM(K15:K17)</f>
        <v>913.35699999999997</v>
      </c>
      <c r="L18" s="3">
        <f>SUM(L15:L17)</f>
        <v>1065.472</v>
      </c>
      <c r="M18" s="3">
        <f>SUM(M15:M17)</f>
        <v>1096.961</v>
      </c>
      <c r="N18" s="3">
        <f>SUM(N15:N17)</f>
        <v>1106.021</v>
      </c>
      <c r="O18" s="3">
        <f t="shared" ref="O18:S18" si="17">SUM(O15:O17)</f>
        <v>913.88600000000008</v>
      </c>
      <c r="P18" s="3">
        <f t="shared" si="17"/>
        <v>975.13400000000001</v>
      </c>
      <c r="Q18" s="3">
        <f t="shared" si="17"/>
        <v>1012.8609999999999</v>
      </c>
      <c r="R18" s="3">
        <f t="shared" si="17"/>
        <v>988.49599999999998</v>
      </c>
      <c r="S18" s="3">
        <f t="shared" si="17"/>
        <v>953.25599999999997</v>
      </c>
      <c r="T18" s="3">
        <f t="shared" ref="T18:U18" si="18">SUM(T15:T17)</f>
        <v>901.82200000000012</v>
      </c>
      <c r="U18" s="3">
        <f t="shared" si="18"/>
        <v>906.87700000000007</v>
      </c>
      <c r="V18" s="3">
        <f t="shared" ref="V18:Z18" si="19">SUM(V15:V17)</f>
        <v>861.53314999999998</v>
      </c>
      <c r="W18" s="3">
        <f t="shared" si="19"/>
        <v>818.45649249999997</v>
      </c>
      <c r="X18" s="3">
        <f t="shared" si="19"/>
        <v>777.53366787499999</v>
      </c>
      <c r="Y18" s="3">
        <f t="shared" si="19"/>
        <v>738.65698448124988</v>
      </c>
      <c r="Z18" s="3">
        <f t="shared" si="19"/>
        <v>701.72413525718741</v>
      </c>
      <c r="AA18" s="3"/>
      <c r="AF18" s="2">
        <f t="shared" ref="AF18" si="20">SUM(AF15:AF17)</f>
        <v>1923.0239999999999</v>
      </c>
      <c r="AG18" s="2">
        <f>SUM(AG15:AG17)</f>
        <v>2186.1930000000002</v>
      </c>
      <c r="AH18" s="2">
        <f t="shared" ref="AH18:AI18" si="21">SUM(AH15:AH17)</f>
        <v>3068.8709999999996</v>
      </c>
      <c r="AI18" s="2">
        <f t="shared" si="21"/>
        <v>4181.8110000000006</v>
      </c>
    </row>
    <row r="19" spans="2:38" s="2" customFormat="1" x14ac:dyDescent="0.2">
      <c r="B19" s="2" t="s">
        <v>26</v>
      </c>
      <c r="C19" s="3"/>
      <c r="D19" s="3"/>
      <c r="E19" s="3">
        <f t="shared" ref="E19" si="22">E14-E18</f>
        <v>-167.86400000000003</v>
      </c>
      <c r="F19" s="3">
        <f t="shared" ref="F19:G19" si="23">F14-F18</f>
        <v>-97.23599999999999</v>
      </c>
      <c r="G19" s="3">
        <f t="shared" si="23"/>
        <v>-303.60599999999999</v>
      </c>
      <c r="H19" s="3">
        <f>H14-H18</f>
        <v>-192.51199999999994</v>
      </c>
      <c r="I19" s="3">
        <f t="shared" ref="I19" si="24">I14-I18</f>
        <v>-180.82399999999996</v>
      </c>
      <c r="J19" s="3">
        <f t="shared" ref="J19" si="25">J14-J18</f>
        <v>-25.127000000000066</v>
      </c>
      <c r="K19" s="3">
        <f t="shared" ref="K19" si="26">K14-K18</f>
        <v>-271.52699999999982</v>
      </c>
      <c r="L19" s="3">
        <f>L14-L18</f>
        <v>-400.93999999999983</v>
      </c>
      <c r="M19" s="3">
        <f>M14-M18</f>
        <v>-435.24199999999996</v>
      </c>
      <c r="N19" s="3">
        <f>N14-N18</f>
        <v>-287.33199999999988</v>
      </c>
      <c r="O19" s="3">
        <f t="shared" ref="O19:S19" si="27">O14-O18</f>
        <v>-365.26400000000012</v>
      </c>
      <c r="P19" s="3">
        <f t="shared" si="27"/>
        <v>-404.33899999999994</v>
      </c>
      <c r="Q19" s="3">
        <f t="shared" si="27"/>
        <v>-379.61399999999992</v>
      </c>
      <c r="R19" s="3">
        <f t="shared" si="27"/>
        <v>-248.71299999999997</v>
      </c>
      <c r="S19" s="3">
        <f t="shared" si="27"/>
        <v>-333.23200000000008</v>
      </c>
      <c r="T19" s="3">
        <f t="shared" ref="T19:U19" si="28">T14-T18</f>
        <v>-226.97500000000014</v>
      </c>
      <c r="U19" s="3">
        <f t="shared" si="28"/>
        <v>-172.78400000000011</v>
      </c>
      <c r="V19" s="3">
        <f t="shared" ref="V19:Z19" si="29">V14-V18</f>
        <v>-3.9223399999999629</v>
      </c>
      <c r="W19" s="3">
        <f t="shared" si="29"/>
        <v>-65.749502500000062</v>
      </c>
      <c r="X19" s="3">
        <f t="shared" si="29"/>
        <v>18.640172125000049</v>
      </c>
      <c r="Y19" s="3">
        <f t="shared" si="29"/>
        <v>126.33301551875013</v>
      </c>
      <c r="Z19" s="3">
        <f t="shared" si="29"/>
        <v>198.76721524281265</v>
      </c>
      <c r="AA19" s="3"/>
      <c r="AF19" s="2">
        <f t="shared" ref="AF19" si="30">+AF14-AF18</f>
        <v>-1103.3279999999997</v>
      </c>
      <c r="AG19" s="2">
        <f>+AG14-AG18</f>
        <v>-862.07200000000012</v>
      </c>
      <c r="AH19" s="2">
        <f t="shared" ref="AH19:AI19" si="31">+AH14-AH18</f>
        <v>-702.06899999999996</v>
      </c>
      <c r="AI19" s="2">
        <f t="shared" si="31"/>
        <v>-1395.0409999999993</v>
      </c>
    </row>
    <row r="20" spans="2:38" s="2" customFormat="1" x14ac:dyDescent="0.2">
      <c r="B20" s="2" t="s">
        <v>27</v>
      </c>
      <c r="C20" s="3"/>
      <c r="D20" s="3"/>
      <c r="E20" s="3">
        <f t="shared" ref="E20" si="32">2.801-28.212</f>
        <v>-25.411000000000001</v>
      </c>
      <c r="F20" s="3">
        <f>1.969-29.176</f>
        <v>-27.206999999999997</v>
      </c>
      <c r="G20" s="3">
        <f>1.137-5.031</f>
        <v>-3.8939999999999997</v>
      </c>
      <c r="H20" s="3">
        <f>1.251-4.564</f>
        <v>-3.3130000000000002</v>
      </c>
      <c r="I20" s="3">
        <f t="shared" ref="I20" si="33">1.257-4.031</f>
        <v>-2.774</v>
      </c>
      <c r="J20" s="3">
        <f>1.554-4.05</f>
        <v>-2.4959999999999996</v>
      </c>
      <c r="K20" s="3">
        <f>3.123-5.173</f>
        <v>-2.0499999999999998</v>
      </c>
      <c r="L20" s="3">
        <f>8.331-5.549</f>
        <v>2.7819999999999991</v>
      </c>
      <c r="M20" s="3">
        <f>18.445-5.425</f>
        <v>13.02</v>
      </c>
      <c r="N20" s="3">
        <f>28.698-5.312</f>
        <v>23.385999999999999</v>
      </c>
      <c r="O20" s="2">
        <f>37.948-5.885</f>
        <v>32.063000000000002</v>
      </c>
      <c r="P20" s="2">
        <f>43.144-5.343</f>
        <v>37.801000000000002</v>
      </c>
      <c r="Q20" s="2">
        <f>43.839-5.521</f>
        <v>38.317999999999998</v>
      </c>
      <c r="R20" s="2">
        <f>43.463-5.275</f>
        <v>38.188000000000002</v>
      </c>
      <c r="S20" s="2">
        <f>39.898-4.743</f>
        <v>35.155000000000001</v>
      </c>
      <c r="U20" s="2">
        <f>38.533-5.883</f>
        <v>32.65</v>
      </c>
      <c r="AF20" s="2">
        <f>36.042-24.994</f>
        <v>11.048000000000002</v>
      </c>
      <c r="AG20" s="2">
        <f>18.127-97.228</f>
        <v>-79.100999999999999</v>
      </c>
      <c r="AH20" s="2">
        <f>SUM(G20:J20)</f>
        <v>-12.477</v>
      </c>
      <c r="AI20" s="2">
        <f t="shared" ref="AI20:AI22" si="34">SUM(K20:N20)</f>
        <v>37.137999999999998</v>
      </c>
    </row>
    <row r="21" spans="2:38" s="2" customFormat="1" x14ac:dyDescent="0.2">
      <c r="B21" s="2" t="s">
        <v>28</v>
      </c>
      <c r="C21" s="3"/>
      <c r="D21" s="3"/>
      <c r="E21" s="3">
        <f t="shared" ref="E21" si="35">+E19+E20</f>
        <v>-193.27500000000003</v>
      </c>
      <c r="F21" s="3">
        <f t="shared" ref="F21:G21" si="36">+F19+F20</f>
        <v>-124.44299999999998</v>
      </c>
      <c r="G21" s="3">
        <f t="shared" si="36"/>
        <v>-307.5</v>
      </c>
      <c r="H21" s="3">
        <f>+H19+H20</f>
        <v>-195.82499999999993</v>
      </c>
      <c r="I21" s="3">
        <f t="shared" ref="I21" si="37">+I19+I20</f>
        <v>-183.59799999999996</v>
      </c>
      <c r="J21" s="3">
        <f t="shared" ref="J21" si="38">+J19+J20</f>
        <v>-27.623000000000065</v>
      </c>
      <c r="K21" s="3">
        <f>+K19+K20</f>
        <v>-273.57699999999983</v>
      </c>
      <c r="L21" s="3">
        <f>+L19+L20</f>
        <v>-398.15799999999984</v>
      </c>
      <c r="M21" s="3">
        <f>+M19+M20</f>
        <v>-422.22199999999998</v>
      </c>
      <c r="N21" s="3">
        <f>+N19+N20</f>
        <v>-263.94599999999986</v>
      </c>
      <c r="O21" s="3">
        <f t="shared" ref="O21:S21" si="39">+O19+O20</f>
        <v>-333.20100000000014</v>
      </c>
      <c r="P21" s="3">
        <f t="shared" si="39"/>
        <v>-366.53799999999995</v>
      </c>
      <c r="Q21" s="3">
        <f t="shared" si="39"/>
        <v>-341.29599999999994</v>
      </c>
      <c r="R21" s="3">
        <f t="shared" si="39"/>
        <v>-210.52499999999998</v>
      </c>
      <c r="S21" s="3">
        <f t="shared" si="39"/>
        <v>-298.07700000000011</v>
      </c>
      <c r="T21" s="3">
        <f t="shared" ref="T21:Z21" si="40">+T19+T20</f>
        <v>-226.97500000000014</v>
      </c>
      <c r="U21" s="3">
        <f t="shared" si="40"/>
        <v>-140.1340000000001</v>
      </c>
      <c r="V21" s="3">
        <f t="shared" si="40"/>
        <v>-3.9223399999999629</v>
      </c>
      <c r="W21" s="3">
        <f t="shared" si="40"/>
        <v>-65.749502500000062</v>
      </c>
      <c r="X21" s="3">
        <f t="shared" si="40"/>
        <v>18.640172125000049</v>
      </c>
      <c r="Y21" s="3">
        <f t="shared" si="40"/>
        <v>126.33301551875013</v>
      </c>
      <c r="Z21" s="3">
        <f t="shared" si="40"/>
        <v>198.76721524281265</v>
      </c>
      <c r="AA21" s="3"/>
      <c r="AF21" s="2">
        <f t="shared" ref="AF21" si="41">+AF19+AF20</f>
        <v>-1092.2799999999997</v>
      </c>
      <c r="AG21" s="2">
        <f>+AG19+AG20</f>
        <v>-941.17300000000012</v>
      </c>
      <c r="AH21" s="2">
        <f>+AH19+AH20</f>
        <v>-714.54599999999994</v>
      </c>
      <c r="AI21" s="2">
        <f>+AI19+AI20</f>
        <v>-1357.9029999999993</v>
      </c>
    </row>
    <row r="22" spans="2:38" s="2" customFormat="1" x14ac:dyDescent="0.2">
      <c r="B22" s="2" t="s">
        <v>29</v>
      </c>
      <c r="C22" s="3"/>
      <c r="D22" s="3"/>
      <c r="E22" s="3">
        <v>0.90900000000000003</v>
      </c>
      <c r="F22" s="3">
        <v>18.126999999999999</v>
      </c>
      <c r="G22" s="3">
        <v>1.44</v>
      </c>
      <c r="H22" s="3">
        <v>-1.879</v>
      </c>
      <c r="I22" s="3">
        <v>0.99199999999999999</v>
      </c>
      <c r="J22" s="3">
        <v>13.031000000000001</v>
      </c>
      <c r="K22" s="3">
        <v>8.51</v>
      </c>
      <c r="L22" s="3">
        <v>6.9989999999999997</v>
      </c>
      <c r="M22" s="3">
        <v>9.2409999999999997</v>
      </c>
      <c r="N22" s="3">
        <v>4.2060000000000004</v>
      </c>
      <c r="O22" s="2">
        <v>0</v>
      </c>
      <c r="P22" s="2">
        <v>0</v>
      </c>
      <c r="Q22" s="2">
        <v>0</v>
      </c>
      <c r="Z22" s="2">
        <f>+Z21*0.1</f>
        <v>19.876721524281265</v>
      </c>
      <c r="AF22" s="2">
        <v>0.39300000000000002</v>
      </c>
      <c r="AG22" s="2">
        <v>18.654</v>
      </c>
      <c r="AH22" s="2">
        <f>SUM(G22:J22)</f>
        <v>13.584</v>
      </c>
      <c r="AI22" s="2">
        <f t="shared" si="34"/>
        <v>28.956</v>
      </c>
    </row>
    <row r="23" spans="2:38" s="2" customFormat="1" x14ac:dyDescent="0.2">
      <c r="B23" s="2" t="s">
        <v>30</v>
      </c>
      <c r="C23" s="3"/>
      <c r="D23" s="3"/>
      <c r="E23" s="3">
        <f t="shared" ref="E23" si="42">+E21-E22</f>
        <v>-194.18400000000003</v>
      </c>
      <c r="F23" s="3">
        <f t="shared" ref="F23:G23" si="43">+F21-F22</f>
        <v>-142.57</v>
      </c>
      <c r="G23" s="3">
        <f t="shared" si="43"/>
        <v>-308.94</v>
      </c>
      <c r="H23" s="3">
        <f>+H21-H22</f>
        <v>-193.94599999999994</v>
      </c>
      <c r="I23" s="3">
        <f t="shared" ref="I23" si="44">+I21-I22</f>
        <v>-184.58999999999995</v>
      </c>
      <c r="J23" s="3">
        <f t="shared" ref="J23" si="45">+J21-J22</f>
        <v>-40.654000000000067</v>
      </c>
      <c r="K23" s="3">
        <f>+K21-K22</f>
        <v>-282.08699999999982</v>
      </c>
      <c r="L23" s="3">
        <f>+L21-L22</f>
        <v>-405.15699999999987</v>
      </c>
      <c r="M23" s="3">
        <f>+M21-M22</f>
        <v>-431.46299999999997</v>
      </c>
      <c r="N23" s="3">
        <f>+N21-N22</f>
        <v>-268.15199999999987</v>
      </c>
      <c r="O23" s="3">
        <f t="shared" ref="O23:S23" si="46">+O21-O22</f>
        <v>-333.20100000000014</v>
      </c>
      <c r="P23" s="3">
        <f t="shared" si="46"/>
        <v>-366.53799999999995</v>
      </c>
      <c r="Q23" s="3">
        <f t="shared" si="46"/>
        <v>-341.29599999999994</v>
      </c>
      <c r="R23" s="3">
        <f t="shared" si="46"/>
        <v>-210.52499999999998</v>
      </c>
      <c r="S23" s="3">
        <f t="shared" si="46"/>
        <v>-298.07700000000011</v>
      </c>
      <c r="T23" s="3">
        <f t="shared" ref="T23:Z23" si="47">+T21-T22</f>
        <v>-226.97500000000014</v>
      </c>
      <c r="U23" s="3">
        <f t="shared" si="47"/>
        <v>-140.1340000000001</v>
      </c>
      <c r="V23" s="3">
        <f t="shared" si="47"/>
        <v>-3.9223399999999629</v>
      </c>
      <c r="W23" s="3">
        <f t="shared" si="47"/>
        <v>-65.749502500000062</v>
      </c>
      <c r="X23" s="3">
        <f t="shared" si="47"/>
        <v>18.640172125000049</v>
      </c>
      <c r="Y23" s="3">
        <f t="shared" si="47"/>
        <v>126.33301551875013</v>
      </c>
      <c r="Z23" s="3">
        <f t="shared" si="47"/>
        <v>178.89049371853139</v>
      </c>
      <c r="AA23" s="3"/>
      <c r="AF23" s="2">
        <f t="shared" ref="AF23" si="48">+AF21-AF22</f>
        <v>-1092.6729999999998</v>
      </c>
      <c r="AG23" s="2">
        <f>+AG21-AG22</f>
        <v>-959.82700000000011</v>
      </c>
      <c r="AH23" s="2">
        <f>+AH21-AH22</f>
        <v>-728.12999999999988</v>
      </c>
      <c r="AI23" s="2">
        <f>+AI21-AI22</f>
        <v>-1386.8589999999992</v>
      </c>
    </row>
    <row r="24" spans="2:38" x14ac:dyDescent="0.2">
      <c r="B24" s="2" t="s">
        <v>31</v>
      </c>
      <c r="E24" s="4">
        <f t="shared" ref="E24" si="49">+E23/E25</f>
        <v>-0.1324204525306529</v>
      </c>
      <c r="F24" s="4">
        <f t="shared" ref="F24:G24" si="50">+F23/F25</f>
        <v>-9.6053499447879331E-2</v>
      </c>
      <c r="G24" s="4">
        <f t="shared" si="50"/>
        <v>-0.20573561102690666</v>
      </c>
      <c r="H24" s="4">
        <f>+H23/H25</f>
        <v>-0.12535014096122496</v>
      </c>
      <c r="I24" s="4">
        <f t="shared" ref="I24" si="51">+I23/I25</f>
        <v>-0.11675772913522489</v>
      </c>
      <c r="J24" s="4">
        <f t="shared" ref="J24" si="52">+J23/J25</f>
        <v>-2.4360064450448516E-2</v>
      </c>
      <c r="K24" s="4">
        <f t="shared" ref="K24" si="53">+K23/K25</f>
        <v>-0.1742231703407976</v>
      </c>
      <c r="L24" s="4">
        <f t="shared" ref="L24:S24" si="54">+L23/L25</f>
        <v>-0.24823667087382201</v>
      </c>
      <c r="M24" s="4">
        <f t="shared" si="54"/>
        <v>-0.26823551792545086</v>
      </c>
      <c r="N24" s="4">
        <f t="shared" si="54"/>
        <v>-0.17037606988575382</v>
      </c>
      <c r="O24" s="4">
        <f t="shared" si="54"/>
        <v>-0.21070400981427506</v>
      </c>
      <c r="P24" s="4">
        <f t="shared" si="54"/>
        <v>-0.22863298510702529</v>
      </c>
      <c r="Q24" s="4">
        <f t="shared" si="54"/>
        <v>-0.20990985394703418</v>
      </c>
      <c r="R24" s="4">
        <f t="shared" si="54"/>
        <v>-0.12846964143834738</v>
      </c>
      <c r="S24" s="4">
        <f t="shared" si="54"/>
        <v>-0.18093926927916762</v>
      </c>
      <c r="T24" s="4">
        <f t="shared" ref="T24:W24" si="55">+T23/T25</f>
        <v>-0.13788953527930878</v>
      </c>
      <c r="U24" s="4">
        <f t="shared" si="55"/>
        <v>-8.426522734966882E-2</v>
      </c>
      <c r="V24" s="4">
        <f t="shared" si="55"/>
        <v>-2.3585773034573813E-3</v>
      </c>
      <c r="W24" s="4">
        <f t="shared" si="55"/>
        <v>-3.9536420685130802E-2</v>
      </c>
      <c r="X24" s="4">
        <f t="shared" ref="X24:Z24" si="56">+X23/X25</f>
        <v>1.1208688412163268E-2</v>
      </c>
      <c r="Y24" s="4">
        <f t="shared" si="56"/>
        <v>7.5966434087778215E-2</v>
      </c>
      <c r="Z24" s="4">
        <f t="shared" si="56"/>
        <v>0.1075702407972836</v>
      </c>
      <c r="AA24" s="4"/>
      <c r="AF24" s="6">
        <f t="shared" ref="AF24" si="57">+AF23/AF25</f>
        <v>-0.79440435286471001</v>
      </c>
      <c r="AG24" s="6">
        <f>+AG23/AG25</f>
        <v>-0.65936086798521398</v>
      </c>
      <c r="AH24" s="6">
        <f>+AH23/AH25</f>
        <v>-0.46705028938477744</v>
      </c>
      <c r="AI24" s="6">
        <f>+AI23/AI25</f>
        <v>-0.86225210257491069</v>
      </c>
    </row>
    <row r="25" spans="2:38" s="2" customFormat="1" x14ac:dyDescent="0.2">
      <c r="B25" s="2" t="s">
        <v>1</v>
      </c>
      <c r="C25" s="3"/>
      <c r="D25" s="3"/>
      <c r="E25" s="3">
        <v>1466.42</v>
      </c>
      <c r="F25" s="3">
        <v>1484.277</v>
      </c>
      <c r="G25" s="3">
        <v>1501.636</v>
      </c>
      <c r="H25" s="3">
        <v>1547.2339999999999</v>
      </c>
      <c r="I25" s="3">
        <v>1580.9659999999999</v>
      </c>
      <c r="J25" s="3">
        <v>1668.8789999999999</v>
      </c>
      <c r="K25" s="3">
        <v>1619.1130000000001</v>
      </c>
      <c r="L25" s="3">
        <v>1632.14</v>
      </c>
      <c r="M25" s="3">
        <v>1608.5229999999999</v>
      </c>
      <c r="N25" s="3">
        <v>1573.883</v>
      </c>
      <c r="O25" s="3">
        <v>1581.37</v>
      </c>
      <c r="P25" s="3">
        <v>1603.172</v>
      </c>
      <c r="Q25" s="3">
        <v>1625.9169999999999</v>
      </c>
      <c r="R25" s="3">
        <v>1638.7139999999999</v>
      </c>
      <c r="S25" s="3">
        <v>1647.3869999999999</v>
      </c>
      <c r="T25" s="3">
        <v>1646.0640000000001</v>
      </c>
      <c r="U25" s="3">
        <v>1663.011</v>
      </c>
      <c r="V25" s="3">
        <f>+U25</f>
        <v>1663.011</v>
      </c>
      <c r="W25" s="3">
        <f>+V25</f>
        <v>1663.011</v>
      </c>
      <c r="X25" s="3">
        <f t="shared" ref="X25:Z25" si="58">+W25</f>
        <v>1663.011</v>
      </c>
      <c r="Y25" s="3">
        <f t="shared" si="58"/>
        <v>1663.011</v>
      </c>
      <c r="Z25" s="3">
        <f t="shared" si="58"/>
        <v>1663.011</v>
      </c>
      <c r="AA25" s="3"/>
      <c r="AF25" s="2">
        <v>1375.462</v>
      </c>
      <c r="AG25" s="2">
        <v>1455.693</v>
      </c>
      <c r="AH25" s="2">
        <v>1558.9970000000001</v>
      </c>
      <c r="AI25" s="2">
        <f>AVERAGE(K25:N25)</f>
        <v>1608.4147499999999</v>
      </c>
    </row>
    <row r="27" spans="2:38" x14ac:dyDescent="0.2">
      <c r="B27" s="2" t="s">
        <v>32</v>
      </c>
      <c r="I27" s="5">
        <f t="shared" ref="I27:J27" si="59">+I12/E12-1</f>
        <v>0.57289131062610887</v>
      </c>
      <c r="J27" s="5">
        <f t="shared" si="59"/>
        <v>0.42417828166114724</v>
      </c>
      <c r="K27" s="5">
        <f t="shared" ref="K27:U27" si="60">+K12/G12-1</f>
        <v>0.38091098567537807</v>
      </c>
      <c r="L27" s="5">
        <f t="shared" si="60"/>
        <v>0.13114749090731381</v>
      </c>
      <c r="M27" s="5">
        <f t="shared" si="60"/>
        <v>5.7149093511673854E-2</v>
      </c>
      <c r="N27" s="5">
        <f t="shared" si="60"/>
        <v>1.6295742689067527E-3</v>
      </c>
      <c r="O27" s="5">
        <f t="shared" si="60"/>
        <v>-6.9744158189262273E-2</v>
      </c>
      <c r="P27" s="5">
        <f t="shared" si="60"/>
        <v>-3.8923080108271724E-2</v>
      </c>
      <c r="Q27" s="5">
        <f t="shared" si="60"/>
        <v>5.3633395836508502E-2</v>
      </c>
      <c r="R27" s="5">
        <f t="shared" si="60"/>
        <v>4.7143846153846258E-2</v>
      </c>
      <c r="S27" s="5">
        <f t="shared" si="60"/>
        <v>0.20854069560432453</v>
      </c>
      <c r="T27" s="5">
        <f t="shared" si="60"/>
        <v>0.1836702198902469</v>
      </c>
      <c r="U27" s="5">
        <f t="shared" si="60"/>
        <v>0.15475189234650966</v>
      </c>
      <c r="AD27" s="9">
        <f t="shared" ref="AD27:AF27" si="61">+AD12/AC12-1</f>
        <v>1.0395196819635975</v>
      </c>
      <c r="AE27" s="9">
        <f t="shared" si="61"/>
        <v>0.43093209398399179</v>
      </c>
      <c r="AF27" s="9">
        <f t="shared" si="61"/>
        <v>0.45329307736228519</v>
      </c>
      <c r="AG27" s="9">
        <f t="shared" ref="AG27:AL27" si="62">+AG12/AF12-1</f>
        <v>0.4611345505247928</v>
      </c>
      <c r="AH27" s="9">
        <f t="shared" si="62"/>
        <v>0.64246600809215226</v>
      </c>
      <c r="AI27" s="9">
        <f t="shared" si="62"/>
        <v>0.11781839803665184</v>
      </c>
      <c r="AJ27" s="9">
        <f t="shared" si="62"/>
        <v>9.6738193246914683E-4</v>
      </c>
      <c r="AK27" s="9">
        <f t="shared" si="62"/>
        <v>0.14204260485689546</v>
      </c>
      <c r="AL27" s="9">
        <f t="shared" si="62"/>
        <v>5.0000000000000044E-2</v>
      </c>
    </row>
    <row r="28" spans="2:38" x14ac:dyDescent="0.2">
      <c r="B28" s="2" t="s">
        <v>41</v>
      </c>
      <c r="H28" s="5">
        <f t="shared" ref="H28:O28" si="63">+H3/D3-1</f>
        <v>0.23109243697478998</v>
      </c>
      <c r="I28" s="5">
        <f t="shared" si="63"/>
        <v>0.22891566265060237</v>
      </c>
      <c r="J28" s="5">
        <f t="shared" si="63"/>
        <v>0.20377358490566033</v>
      </c>
      <c r="K28" s="5">
        <f t="shared" si="63"/>
        <v>0.18571428571428572</v>
      </c>
      <c r="L28" s="5">
        <f t="shared" si="63"/>
        <v>0.1843003412969284</v>
      </c>
      <c r="M28" s="5">
        <f t="shared" si="63"/>
        <v>0.18627450980392157</v>
      </c>
      <c r="N28" s="5">
        <f t="shared" si="63"/>
        <v>0.17554858934169282</v>
      </c>
      <c r="O28" s="5">
        <f t="shared" si="63"/>
        <v>0.15361445783132521</v>
      </c>
      <c r="P28" s="5">
        <f t="shared" ref="P28" si="64">+P3/L3-1</f>
        <v>0.144092219020173</v>
      </c>
      <c r="Q28" s="5">
        <f t="shared" ref="Q28" si="65">+Q3/M3-1</f>
        <v>0.11845730027548207</v>
      </c>
      <c r="R28" s="5">
        <f t="shared" ref="R28" si="66">+R3/N3-1</f>
        <v>0.10400000000000009</v>
      </c>
      <c r="S28" s="5">
        <f t="shared" ref="S28" si="67">+S3/O3-1</f>
        <v>0.10182767624020883</v>
      </c>
      <c r="T28" s="5">
        <f t="shared" ref="T28" si="68">+T3/P3-1</f>
        <v>8.8161209068010171E-2</v>
      </c>
      <c r="U28" s="5">
        <f t="shared" ref="U28" si="69">+U3/Q3-1</f>
        <v>9.1133004926108319E-2</v>
      </c>
    </row>
    <row r="29" spans="2:38" x14ac:dyDescent="0.2">
      <c r="B29" s="2" t="s">
        <v>21</v>
      </c>
      <c r="F29" s="5">
        <f>+F14/F12</f>
        <v>0.57693767954685615</v>
      </c>
      <c r="G29" s="5">
        <f>+G14/G12</f>
        <v>0.4638648932410237</v>
      </c>
      <c r="H29" s="5">
        <f>+H14/H12</f>
        <v>0.54687162715302184</v>
      </c>
      <c r="I29" s="5">
        <f t="shared" ref="I29:J29" si="70">+I14/I12</f>
        <v>0.58455733223666029</v>
      </c>
      <c r="J29" s="5">
        <f t="shared" si="70"/>
        <v>0.65393621160580473</v>
      </c>
      <c r="K29" s="5">
        <f>+K14/K12</f>
        <v>0.60394626277491781</v>
      </c>
      <c r="L29" s="5">
        <f>+L14/L12</f>
        <v>0.5981876103263184</v>
      </c>
      <c r="M29" s="5">
        <f>+M14/M12</f>
        <v>0.58638287389364063</v>
      </c>
      <c r="N29" s="5">
        <f>+N14/N12</f>
        <v>0.62976076923076929</v>
      </c>
      <c r="O29" s="5">
        <f t="shared" ref="O29:U29" si="71">+O14/O12</f>
        <v>0.55494392114973778</v>
      </c>
      <c r="P29" s="5">
        <f t="shared" si="71"/>
        <v>0.5346179387057225</v>
      </c>
      <c r="Q29" s="5">
        <f t="shared" si="71"/>
        <v>0.53258788898233811</v>
      </c>
      <c r="R29" s="5">
        <f t="shared" si="71"/>
        <v>0.54344381456665636</v>
      </c>
      <c r="S29" s="5">
        <f t="shared" si="71"/>
        <v>0.51894711380320779</v>
      </c>
      <c r="T29" s="5">
        <f t="shared" si="71"/>
        <v>0.53399595495375729</v>
      </c>
      <c r="U29" s="5">
        <f t="shared" si="71"/>
        <v>0.53466351056081574</v>
      </c>
      <c r="V29" s="5"/>
      <c r="W29" s="5"/>
      <c r="X29" s="5"/>
      <c r="Y29" s="5"/>
      <c r="Z29" s="5"/>
      <c r="AA29" s="5"/>
    </row>
    <row r="31" spans="2:38" s="2" customFormat="1" x14ac:dyDescent="0.2">
      <c r="B31" s="2" t="s">
        <v>35</v>
      </c>
      <c r="C31" s="3"/>
      <c r="D31" s="3"/>
      <c r="E31" s="3"/>
      <c r="F31" s="3"/>
      <c r="G31" s="3"/>
      <c r="H31" s="3"/>
      <c r="I31" s="3"/>
      <c r="J31" s="3">
        <v>185.52799999999999</v>
      </c>
      <c r="K31" s="3"/>
      <c r="L31" s="3">
        <v>-124.081</v>
      </c>
      <c r="M31" s="3"/>
      <c r="N31" s="3">
        <v>125.291</v>
      </c>
      <c r="U31" s="2">
        <v>115.872</v>
      </c>
    </row>
    <row r="32" spans="2:38" s="2" customFormat="1" x14ac:dyDescent="0.2">
      <c r="B32" s="2" t="s">
        <v>34</v>
      </c>
      <c r="C32" s="3"/>
      <c r="D32" s="3"/>
      <c r="E32" s="3"/>
      <c r="F32" s="3"/>
      <c r="G32" s="3"/>
      <c r="H32" s="3"/>
      <c r="I32" s="3"/>
      <c r="J32" s="3">
        <v>-24.565000000000001</v>
      </c>
      <c r="K32" s="3"/>
      <c r="L32" s="3">
        <v>-23.37</v>
      </c>
      <c r="M32" s="3"/>
      <c r="N32" s="3">
        <v>-46.924999999999997</v>
      </c>
      <c r="U32" s="2">
        <v>-44.040999999999997</v>
      </c>
    </row>
    <row r="33" spans="2:21" s="2" customFormat="1" x14ac:dyDescent="0.2">
      <c r="B33" s="2" t="s">
        <v>33</v>
      </c>
      <c r="C33" s="3"/>
      <c r="D33" s="3"/>
      <c r="E33" s="3"/>
      <c r="F33" s="3"/>
      <c r="G33" s="3"/>
      <c r="H33" s="3"/>
      <c r="I33" s="3"/>
      <c r="J33" s="3">
        <f>+J31+J32</f>
        <v>160.96299999999999</v>
      </c>
      <c r="K33" s="3"/>
      <c r="L33" s="3">
        <f>+L31+L32</f>
        <v>-147.45099999999999</v>
      </c>
      <c r="M33" s="3"/>
      <c r="N33" s="3">
        <f>+N31+N32</f>
        <v>78.366</v>
      </c>
      <c r="U33" s="2">
        <f>+U31+U32</f>
        <v>71.831000000000003</v>
      </c>
    </row>
    <row r="35" spans="2:21" s="2" customFormat="1" x14ac:dyDescent="0.2">
      <c r="B35" s="2" t="s">
        <v>40</v>
      </c>
      <c r="C35" s="3"/>
      <c r="D35" s="3"/>
      <c r="E35" s="3"/>
      <c r="F35" s="3"/>
      <c r="G35" s="3">
        <v>4043</v>
      </c>
      <c r="H35" s="3">
        <v>4667</v>
      </c>
      <c r="I35" s="3">
        <v>5190</v>
      </c>
      <c r="J35" s="3">
        <v>5661</v>
      </c>
      <c r="K35" s="3">
        <v>6131</v>
      </c>
      <c r="L35" s="3">
        <v>6446</v>
      </c>
      <c r="M35" s="3">
        <v>5706</v>
      </c>
      <c r="N35" s="3">
        <v>5288</v>
      </c>
      <c r="P35" s="2">
        <v>5286</v>
      </c>
      <c r="Q35" s="2">
        <v>5367</v>
      </c>
      <c r="R35" s="2">
        <v>5289</v>
      </c>
      <c r="S35" s="2">
        <v>4835</v>
      </c>
      <c r="T35" s="2">
        <v>4719</v>
      </c>
      <c r="U35" s="2">
        <v>4800</v>
      </c>
    </row>
    <row r="36" spans="2:21" x14ac:dyDescent="0.2">
      <c r="K36" s="5">
        <f>+K35/G35-1</f>
        <v>0.51644818204303733</v>
      </c>
      <c r="L36" s="5">
        <f>+L35/H35-1</f>
        <v>0.38118705806728093</v>
      </c>
      <c r="M36" s="5">
        <f>+M35/I35-1</f>
        <v>9.9421965317919136E-2</v>
      </c>
      <c r="N36" s="5">
        <f>+N35/J35-1</f>
        <v>-6.5889418830595292E-2</v>
      </c>
      <c r="O36" s="5"/>
      <c r="P36" s="5">
        <f t="shared" ref="P36:U36" si="72">+P35/L35-1</f>
        <v>-0.17995656220912193</v>
      </c>
      <c r="Q36" s="5">
        <f t="shared" si="72"/>
        <v>-5.9411146161934769E-2</v>
      </c>
      <c r="R36" s="5">
        <f t="shared" si="72"/>
        <v>1.8910741301048084E-4</v>
      </c>
      <c r="S36" s="5" t="e">
        <f t="shared" si="72"/>
        <v>#DIV/0!</v>
      </c>
      <c r="T36" s="5">
        <f t="shared" si="72"/>
        <v>-0.10726447219069235</v>
      </c>
      <c r="U36" s="5">
        <f t="shared" si="72"/>
        <v>-0.1056456120737842</v>
      </c>
    </row>
  </sheetData>
  <hyperlinks>
    <hyperlink ref="A1" location="Main!A1" display="Main" xr:uid="{A60F2DBC-121C-4F1B-93EA-F88FABBCBBEF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2022-07-21T20:23:43Z</dcterms:created>
  <dcterms:modified xsi:type="dcterms:W3CDTF">2025-10-15T19:57:50Z</dcterms:modified>
</cp:coreProperties>
</file>