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52A332D4-B0BD-4778-B926-39A093B94369}" xr6:coauthVersionLast="47" xr6:coauthVersionMax="47" xr10:uidLastSave="{00000000-0000-0000-0000-000000000000}"/>
  <bookViews>
    <workbookView xWindow="3630" yWindow="3630" windowWidth="18075" windowHeight="16020" activeTab="1" xr2:uid="{A78D39FC-A144-4ED2-83F9-E1606067542F}"/>
  </bookViews>
  <sheets>
    <sheet name="Main" sheetId="1" r:id="rId1"/>
    <sheet name="Model" sheetId="2" r:id="rId2"/>
    <sheet name="Xdemv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" l="1"/>
  <c r="X8" i="2"/>
  <c r="W8" i="2"/>
  <c r="V8" i="2"/>
  <c r="U8" i="2"/>
  <c r="Z20" i="2"/>
  <c r="AA20" i="2" s="1"/>
  <c r="Z8" i="2" l="1"/>
  <c r="Z12" i="2" s="1"/>
  <c r="Z13" i="2" s="1"/>
  <c r="AA8" i="2"/>
  <c r="Z10" i="2"/>
  <c r="S8" i="2"/>
  <c r="H41" i="2"/>
  <c r="H25" i="2"/>
  <c r="H34" i="2" s="1"/>
  <c r="H27" i="2"/>
  <c r="J41" i="2"/>
  <c r="J27" i="2"/>
  <c r="J25" i="2"/>
  <c r="J34" i="2"/>
  <c r="I41" i="2"/>
  <c r="I34" i="2"/>
  <c r="I25" i="2"/>
  <c r="I27" i="2"/>
  <c r="I22" i="2"/>
  <c r="I15" i="2"/>
  <c r="I10" i="2"/>
  <c r="I4" i="2"/>
  <c r="J6" i="2"/>
  <c r="J4" i="2" s="1"/>
  <c r="J22" i="2"/>
  <c r="J13" i="2"/>
  <c r="J10" i="2"/>
  <c r="J14" i="2" s="1"/>
  <c r="J16" i="2" s="1"/>
  <c r="S15" i="2"/>
  <c r="S11" i="2"/>
  <c r="T15" i="2"/>
  <c r="T11" i="2"/>
  <c r="G4" i="2"/>
  <c r="E15" i="2"/>
  <c r="E13" i="2"/>
  <c r="E8" i="2"/>
  <c r="E10" i="2" s="1"/>
  <c r="E23" i="2" s="1"/>
  <c r="E4" i="2"/>
  <c r="H4" i="2"/>
  <c r="F15" i="2"/>
  <c r="F13" i="2"/>
  <c r="F4" i="2"/>
  <c r="F8" i="2"/>
  <c r="F10" i="2" s="1"/>
  <c r="F23" i="2" s="1"/>
  <c r="H15" i="2"/>
  <c r="H13" i="2"/>
  <c r="R2" i="2"/>
  <c r="S2" i="2" s="1"/>
  <c r="T2" i="2" s="1"/>
  <c r="U2" i="2" s="1"/>
  <c r="V2" i="2" s="1"/>
  <c r="W2" i="2" s="1"/>
  <c r="X2" i="2" s="1"/>
  <c r="Y2" i="2" s="1"/>
  <c r="Z2" i="2" s="1"/>
  <c r="H8" i="2"/>
  <c r="H10" i="2" s="1"/>
  <c r="H14" i="2" s="1"/>
  <c r="H16" i="2" s="1"/>
  <c r="H18" i="2" s="1"/>
  <c r="H19" i="2" s="1"/>
  <c r="G15" i="2"/>
  <c r="G13" i="2"/>
  <c r="G8" i="2"/>
  <c r="G10" i="2" s="1"/>
  <c r="G14" i="2" s="1"/>
  <c r="G16" i="2" s="1"/>
  <c r="G18" i="2" s="1"/>
  <c r="G19" i="2" s="1"/>
  <c r="J4" i="1"/>
  <c r="J7" i="1" s="1"/>
  <c r="Z14" i="2" l="1"/>
  <c r="Z23" i="2"/>
  <c r="AA12" i="2"/>
  <c r="AA13" i="2" s="1"/>
  <c r="AA10" i="2"/>
  <c r="AA9" i="2"/>
  <c r="Z9" i="2"/>
  <c r="K4" i="2"/>
  <c r="K20" i="2"/>
  <c r="S20" i="2"/>
  <c r="J23" i="2"/>
  <c r="G23" i="2"/>
  <c r="K3" i="2"/>
  <c r="H23" i="2"/>
  <c r="J18" i="2"/>
  <c r="E14" i="2"/>
  <c r="E16" i="2" s="1"/>
  <c r="E18" i="2" s="1"/>
  <c r="E19" i="2" s="1"/>
  <c r="F14" i="2"/>
  <c r="F16" i="2" s="1"/>
  <c r="F18" i="2" s="1"/>
  <c r="F19" i="2" s="1"/>
  <c r="AA14" i="2" l="1"/>
  <c r="AA23" i="2"/>
  <c r="S3" i="2"/>
  <c r="L3" i="2"/>
  <c r="M3" i="2" s="1"/>
  <c r="N3" i="2" s="1"/>
  <c r="T3" i="2"/>
  <c r="L20" i="2"/>
  <c r="M20" i="2" s="1"/>
  <c r="N20" i="2" s="1"/>
  <c r="T20" i="2"/>
  <c r="U20" i="2" s="1"/>
  <c r="V20" i="2" s="1"/>
  <c r="W20" i="2" s="1"/>
  <c r="X20" i="2" s="1"/>
  <c r="Y20" i="2" s="1"/>
  <c r="K8" i="2"/>
  <c r="K22" i="2" s="1"/>
  <c r="L4" i="2"/>
  <c r="J19" i="2"/>
  <c r="I23" i="2" l="1"/>
  <c r="S9" i="2"/>
  <c r="S10" i="2" s="1"/>
  <c r="S23" i="2" s="1"/>
  <c r="L8" i="2"/>
  <c r="L22" i="2" s="1"/>
  <c r="M4" i="2"/>
  <c r="K10" i="2"/>
  <c r="L10" i="2" l="1"/>
  <c r="L9" i="2"/>
  <c r="K23" i="2"/>
  <c r="K12" i="2"/>
  <c r="K9" i="2"/>
  <c r="M8" i="2"/>
  <c r="M22" i="2" s="1"/>
  <c r="N4" i="2"/>
  <c r="N8" i="2" s="1"/>
  <c r="N22" i="2" s="1"/>
  <c r="I13" i="2"/>
  <c r="I14" i="2" s="1"/>
  <c r="I16" i="2" s="1"/>
  <c r="S12" i="2"/>
  <c r="S13" i="2" s="1"/>
  <c r="S14" i="2" s="1"/>
  <c r="S16" i="2" s="1"/>
  <c r="M10" i="2" l="1"/>
  <c r="T8" i="2"/>
  <c r="S17" i="2"/>
  <c r="S18" i="2" s="1"/>
  <c r="S19" i="2" s="1"/>
  <c r="N10" i="2"/>
  <c r="N9" i="2" s="1"/>
  <c r="K13" i="2"/>
  <c r="K14" i="2" s="1"/>
  <c r="K16" i="2" s="1"/>
  <c r="L12" i="2"/>
  <c r="L13" i="2" s="1"/>
  <c r="L14" i="2" s="1"/>
  <c r="L16" i="2" s="1"/>
  <c r="L23" i="2"/>
  <c r="K17" i="2" l="1"/>
  <c r="L17" i="2"/>
  <c r="L18" i="2"/>
  <c r="L19" i="2" s="1"/>
  <c r="N12" i="2"/>
  <c r="N13" i="2" s="1"/>
  <c r="N14" i="2" s="1"/>
  <c r="N16" i="2" s="1"/>
  <c r="N23" i="2"/>
  <c r="I18" i="2"/>
  <c r="M23" i="2"/>
  <c r="M12" i="2"/>
  <c r="M13" i="2" s="1"/>
  <c r="M14" i="2" s="1"/>
  <c r="M16" i="2" s="1"/>
  <c r="M9" i="2"/>
  <c r="T9" i="2" s="1"/>
  <c r="T10" i="2" s="1"/>
  <c r="T23" i="2" l="1"/>
  <c r="M17" i="2"/>
  <c r="M18" i="2" s="1"/>
  <c r="M19" i="2" s="1"/>
  <c r="U12" i="2"/>
  <c r="U13" i="2" s="1"/>
  <c r="U10" i="2"/>
  <c r="U9" i="2"/>
  <c r="I19" i="2"/>
  <c r="N17" i="2"/>
  <c r="N18" i="2" s="1"/>
  <c r="N19" i="2" s="1"/>
  <c r="T12" i="2"/>
  <c r="T13" i="2" s="1"/>
  <c r="T14" i="2" s="1"/>
  <c r="T16" i="2" s="1"/>
  <c r="T17" i="2"/>
  <c r="K18" i="2"/>
  <c r="K19" i="2" s="1"/>
  <c r="T18" i="2" l="1"/>
  <c r="T19" i="2" s="1"/>
  <c r="K25" i="2"/>
  <c r="L25" i="2" s="1"/>
  <c r="M25" i="2" s="1"/>
  <c r="N25" i="2" s="1"/>
  <c r="T25" i="2" s="1"/>
  <c r="U15" i="2" s="1"/>
  <c r="U23" i="2"/>
  <c r="U14" i="2"/>
  <c r="V12" i="2"/>
  <c r="V13" i="2" s="1"/>
  <c r="V10" i="2"/>
  <c r="V9" i="2" s="1"/>
  <c r="U16" i="2" l="1"/>
  <c r="U17" i="2" s="1"/>
  <c r="U18" i="2" s="1"/>
  <c r="V23" i="2"/>
  <c r="V14" i="2"/>
  <c r="W12" i="2"/>
  <c r="W13" i="2" s="1"/>
  <c r="W10" i="2"/>
  <c r="W23" i="2" s="1"/>
  <c r="W9" i="2"/>
  <c r="U25" i="2"/>
  <c r="V15" i="2" s="1"/>
  <c r="V16" i="2" s="1"/>
  <c r="V17" i="2" s="1"/>
  <c r="V18" i="2" s="1"/>
  <c r="U19" i="2"/>
  <c r="V25" i="2" l="1"/>
  <c r="V19" i="2"/>
  <c r="W14" i="2"/>
  <c r="X10" i="2"/>
  <c r="X9" i="2" s="1"/>
  <c r="X12" i="2"/>
  <c r="X13" i="2" s="1"/>
  <c r="X23" i="2" l="1"/>
  <c r="X14" i="2"/>
  <c r="Y12" i="2"/>
  <c r="Y13" i="2" s="1"/>
  <c r="Y10" i="2"/>
  <c r="Y9" i="2" s="1"/>
  <c r="W15" i="2"/>
  <c r="W16" i="2" s="1"/>
  <c r="W17" i="2" s="1"/>
  <c r="W18" i="2" s="1"/>
  <c r="W25" i="2" s="1"/>
  <c r="X15" i="2" l="1"/>
  <c r="X16" i="2" s="1"/>
  <c r="X17" i="2" s="1"/>
  <c r="X18" i="2" s="1"/>
  <c r="X19" i="2" s="1"/>
  <c r="W19" i="2"/>
  <c r="Y23" i="2"/>
  <c r="Y14" i="2"/>
  <c r="X25" i="2" l="1"/>
  <c r="Y15" i="2" s="1"/>
  <c r="Y16" i="2" s="1"/>
  <c r="Y17" i="2" s="1"/>
  <c r="Y18" i="2" s="1"/>
  <c r="Y25" i="2" l="1"/>
  <c r="Y19" i="2"/>
  <c r="Z15" i="2" l="1"/>
  <c r="Z16" i="2" s="1"/>
  <c r="Z17" i="2" s="1"/>
  <c r="Z18" i="2" s="1"/>
  <c r="Z19" i="2" s="1"/>
  <c r="Z25" i="2" l="1"/>
  <c r="AA15" i="2" l="1"/>
  <c r="AA16" i="2" s="1"/>
  <c r="AA17" i="2" s="1"/>
  <c r="AA18" i="2" s="1"/>
  <c r="AA19" i="2" l="1"/>
  <c r="AB18" i="2"/>
  <c r="AA25" i="2"/>
  <c r="AC18" i="2" l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D26" i="2"/>
  <c r="AD27" i="2" s="1"/>
</calcChain>
</file>

<file path=xl/sharedStrings.xml><?xml version="1.0" encoding="utf-8"?>
<sst xmlns="http://schemas.openxmlformats.org/spreadsheetml/2006/main" count="81" uniqueCount="71">
  <si>
    <t>Price</t>
  </si>
  <si>
    <t>Shares</t>
  </si>
  <si>
    <t>MC</t>
  </si>
  <si>
    <t>Cash</t>
  </si>
  <si>
    <t>Debt</t>
  </si>
  <si>
    <t>EV</t>
  </si>
  <si>
    <t>Q124</t>
  </si>
  <si>
    <t>PIC</t>
  </si>
  <si>
    <t>AD</t>
  </si>
  <si>
    <t>Main</t>
  </si>
  <si>
    <t>Revenue</t>
  </si>
  <si>
    <t>Q224</t>
  </si>
  <si>
    <t>Q324</t>
  </si>
  <si>
    <t>Q123</t>
  </si>
  <si>
    <t>Q223</t>
  </si>
  <si>
    <t>Q323</t>
  </si>
  <si>
    <t>Q423</t>
  </si>
  <si>
    <t>Q424</t>
  </si>
  <si>
    <t>Product</t>
  </si>
  <si>
    <t>License</t>
  </si>
  <si>
    <t>Operating Expenses</t>
  </si>
  <si>
    <t>Operating Income</t>
  </si>
  <si>
    <t>COGS</t>
  </si>
  <si>
    <t>Gross Profit</t>
  </si>
  <si>
    <t>R&amp;D</t>
  </si>
  <si>
    <t>SG&amp;A</t>
  </si>
  <si>
    <t>Interest</t>
  </si>
  <si>
    <t>Pretax</t>
  </si>
  <si>
    <t>Taxes</t>
  </si>
  <si>
    <t>Net Income</t>
  </si>
  <si>
    <t>EPS</t>
  </si>
  <si>
    <t>Brand</t>
  </si>
  <si>
    <t>Xdemvy</t>
  </si>
  <si>
    <t>Xdemvy (lotilaner)</t>
  </si>
  <si>
    <t>Indication</t>
  </si>
  <si>
    <t>Demodex blepharitis</t>
  </si>
  <si>
    <t>Approval</t>
  </si>
  <si>
    <t>Lyme Disease</t>
  </si>
  <si>
    <t>Papulopustular Rosacea</t>
  </si>
  <si>
    <t>TP-04 (lotilaner)</t>
  </si>
  <si>
    <t>TP-05 (lotilaner)</t>
  </si>
  <si>
    <t>Generic</t>
  </si>
  <si>
    <t>Lotilaner</t>
  </si>
  <si>
    <t>IP</t>
  </si>
  <si>
    <t>Q125</t>
  </si>
  <si>
    <t>Q225</t>
  </si>
  <si>
    <t>Q325</t>
  </si>
  <si>
    <t>Q425</t>
  </si>
  <si>
    <t>Bottles</t>
  </si>
  <si>
    <t>Gross Margin</t>
  </si>
  <si>
    <t>Maturity</t>
  </si>
  <si>
    <t>Discount</t>
  </si>
  <si>
    <t>NPV</t>
  </si>
  <si>
    <t>Share</t>
  </si>
  <si>
    <t>ROIC</t>
  </si>
  <si>
    <t>Revenue y/y</t>
  </si>
  <si>
    <t>AR</t>
  </si>
  <si>
    <t>Inventory</t>
  </si>
  <si>
    <t>Other Receivables</t>
  </si>
  <si>
    <t>Prepaids</t>
  </si>
  <si>
    <t>Assets</t>
  </si>
  <si>
    <t>PPE</t>
  </si>
  <si>
    <t>Intangibles</t>
  </si>
  <si>
    <t>Lease</t>
  </si>
  <si>
    <t>Other</t>
  </si>
  <si>
    <t>AP</t>
  </si>
  <si>
    <t>SE</t>
  </si>
  <si>
    <t>L+SE</t>
  </si>
  <si>
    <t>Payroll</t>
  </si>
  <si>
    <t>OLTL</t>
  </si>
  <si>
    <t>2023-7-24 FDA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</si>
</sst>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4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F06BC2-8201-4710-A150-19EC95A54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27213</xdr:colOff>
      <xdr:row>0</xdr:row>
      <xdr:rowOff>0</xdr:rowOff>
    </xdr:from>
    <xdr:to>
      <xdr:col>10</xdr:col>
      <xdr:colOff>27213</xdr:colOff>
      <xdr:row>42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DC7086-058A-6B70-6DDE-6A1EBB69A788}"/>
            </a:ext>
          </a:extLst>
        </xdr:cNvPr>
        <xdr:cNvCxnSpPr/>
      </xdr:nvCxnSpPr>
      <xdr:spPr>
        <a:xfrm>
          <a:off x="6444342" y="0"/>
          <a:ext cx="0" cy="67328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30843</xdr:colOff>
      <xdr:row>0</xdr:row>
      <xdr:rowOff>78014</xdr:rowOff>
    </xdr:from>
    <xdr:to>
      <xdr:col>19</xdr:col>
      <xdr:colOff>30843</xdr:colOff>
      <xdr:row>33</xdr:row>
      <xdr:rowOff>50800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3B1849-4FF8-426D-4B77-91A0FA2159D4}"/>
            </a:ext>
          </a:extLst>
        </xdr:cNvPr>
        <xdr:cNvCxnSpPr/>
      </xdr:nvCxnSpPr>
      <xdr:spPr>
        <a:xfrm>
          <a:off x="12273643" y="78014"/>
          <a:ext cx="0" cy="52487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1DF0-2EE8-4720-AFD4-9D099EA9A3C1}">
  <dimension ref="B2:K10"/>
  <sheetViews>
    <sheetView zoomScale="115" zoomScaleNormal="115" workbookViewId="0">
      <selection activeCell="K7" sqref="K7"/>
    </sheetView>
  </sheetViews>
  <sheetFormatPr defaultRowHeight="12.75" x14ac:dyDescent="0.2"/>
  <cols>
    <col min="1" max="1" width="3.7109375" customWidth="1"/>
    <col min="2" max="2" width="16.42578125" customWidth="1"/>
    <col min="3" max="3" width="19" customWidth="1"/>
    <col min="4" max="4" width="10.140625" customWidth="1"/>
  </cols>
  <sheetData>
    <row r="2" spans="2:11" x14ac:dyDescent="0.2">
      <c r="B2" s="6" t="s">
        <v>31</v>
      </c>
      <c r="C2" s="7" t="s">
        <v>34</v>
      </c>
      <c r="D2" s="7" t="s">
        <v>36</v>
      </c>
      <c r="E2" s="7"/>
      <c r="F2" s="7"/>
      <c r="G2" s="8"/>
      <c r="I2" t="s">
        <v>0</v>
      </c>
      <c r="J2" s="1">
        <v>49.72</v>
      </c>
    </row>
    <row r="3" spans="2:11" x14ac:dyDescent="0.2">
      <c r="B3" s="25" t="s">
        <v>33</v>
      </c>
      <c r="C3" t="s">
        <v>35</v>
      </c>
      <c r="D3" s="14">
        <v>45131</v>
      </c>
      <c r="G3" s="10"/>
      <c r="I3" t="s">
        <v>1</v>
      </c>
      <c r="J3" s="2">
        <v>38.377178000000001</v>
      </c>
      <c r="K3" s="3" t="s">
        <v>17</v>
      </c>
    </row>
    <row r="4" spans="2:11" x14ac:dyDescent="0.2">
      <c r="B4" s="6"/>
      <c r="C4" s="7"/>
      <c r="D4" s="7"/>
      <c r="E4" s="7"/>
      <c r="F4" s="7"/>
      <c r="G4" s="8"/>
      <c r="I4" t="s">
        <v>2</v>
      </c>
      <c r="J4" s="2">
        <f>+J2*J3</f>
        <v>1908.1132901599999</v>
      </c>
    </row>
    <row r="5" spans="2:11" x14ac:dyDescent="0.2">
      <c r="B5" s="9" t="s">
        <v>39</v>
      </c>
      <c r="C5" t="s">
        <v>38</v>
      </c>
      <c r="G5" s="10"/>
      <c r="I5" t="s">
        <v>3</v>
      </c>
      <c r="J5" s="2">
        <v>291.39999999999998</v>
      </c>
      <c r="K5" s="3" t="s">
        <v>17</v>
      </c>
    </row>
    <row r="6" spans="2:11" x14ac:dyDescent="0.2">
      <c r="B6" s="11" t="s">
        <v>40</v>
      </c>
      <c r="C6" s="12" t="s">
        <v>37</v>
      </c>
      <c r="D6" s="12"/>
      <c r="E6" s="12"/>
      <c r="F6" s="12"/>
      <c r="G6" s="13"/>
      <c r="I6" t="s">
        <v>4</v>
      </c>
      <c r="J6" s="2">
        <v>71.844999999999999</v>
      </c>
      <c r="K6" s="3" t="s">
        <v>6</v>
      </c>
    </row>
    <row r="7" spans="2:11" x14ac:dyDescent="0.2">
      <c r="I7" t="s">
        <v>5</v>
      </c>
      <c r="J7" s="2">
        <f>+J4-J5+J6</f>
        <v>1688.5582901599998</v>
      </c>
    </row>
    <row r="9" spans="2:11" x14ac:dyDescent="0.2">
      <c r="I9" t="s">
        <v>7</v>
      </c>
      <c r="J9" s="2">
        <v>555.65499999999997</v>
      </c>
    </row>
    <row r="10" spans="2:11" x14ac:dyDescent="0.2">
      <c r="I10" t="s">
        <v>8</v>
      </c>
      <c r="J10" s="2">
        <v>275.21100000000001</v>
      </c>
    </row>
  </sheetData>
  <hyperlinks>
    <hyperlink ref="B3" location="Xdemvy!A1" display="Xdemvy (lotilaner)" xr:uid="{858C0F3B-F623-41B7-BA1A-8D132FA53B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C2C-021D-4F80-96F6-D85DE8C5C4B9}">
  <dimension ref="A1:AP41"/>
  <sheetViews>
    <sheetView tabSelected="1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D27" sqref="AD27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8" max="28" width="10" bestFit="1" customWidth="1"/>
  </cols>
  <sheetData>
    <row r="1" spans="1:27" x14ac:dyDescent="0.2">
      <c r="A1" s="26" t="s">
        <v>9</v>
      </c>
    </row>
    <row r="2" spans="1:27" x14ac:dyDescent="0.2">
      <c r="C2" s="3" t="s">
        <v>13</v>
      </c>
      <c r="D2" s="3" t="s">
        <v>14</v>
      </c>
      <c r="E2" s="3" t="s">
        <v>15</v>
      </c>
      <c r="F2" s="3" t="s">
        <v>16</v>
      </c>
      <c r="G2" s="3" t="s">
        <v>6</v>
      </c>
      <c r="H2" s="3" t="s">
        <v>11</v>
      </c>
      <c r="I2" s="3" t="s">
        <v>12</v>
      </c>
      <c r="J2" s="3" t="s">
        <v>17</v>
      </c>
      <c r="K2" s="3" t="s">
        <v>44</v>
      </c>
      <c r="L2" s="3" t="s">
        <v>45</v>
      </c>
      <c r="M2" s="3" t="s">
        <v>46</v>
      </c>
      <c r="N2" s="3" t="s">
        <v>47</v>
      </c>
      <c r="Q2">
        <v>2022</v>
      </c>
      <c r="R2">
        <f t="shared" ref="R2:Z2" si="0">+Q2+1</f>
        <v>2023</v>
      </c>
      <c r="S2">
        <f t="shared" si="0"/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</row>
    <row r="3" spans="1:27" x14ac:dyDescent="0.2">
      <c r="B3" t="s">
        <v>48</v>
      </c>
      <c r="E3" s="3">
        <v>1.7</v>
      </c>
      <c r="F3" s="3">
        <v>17.399999999999999</v>
      </c>
      <c r="G3" s="4">
        <v>26</v>
      </c>
      <c r="H3" s="4">
        <v>37</v>
      </c>
      <c r="I3" s="4">
        <v>41.4</v>
      </c>
      <c r="J3" s="4">
        <v>58</v>
      </c>
      <c r="K3" s="4">
        <f t="shared" ref="K3:N3" si="1">+J3+10</f>
        <v>68</v>
      </c>
      <c r="L3" s="4">
        <f t="shared" si="1"/>
        <v>78</v>
      </c>
      <c r="M3" s="4">
        <f t="shared" si="1"/>
        <v>88</v>
      </c>
      <c r="N3" s="4">
        <f t="shared" si="1"/>
        <v>98</v>
      </c>
      <c r="S3" s="22">
        <f>SUM(G3:J3)</f>
        <v>162.4</v>
      </c>
      <c r="T3" s="22">
        <f>SUM(K3:N3)</f>
        <v>332</v>
      </c>
    </row>
    <row r="4" spans="1:27" x14ac:dyDescent="0.2">
      <c r="B4" t="s">
        <v>0</v>
      </c>
      <c r="E4" s="19">
        <f t="shared" ref="E4" si="2">+E6*1000/E3</f>
        <v>1000</v>
      </c>
      <c r="F4" s="19">
        <f>+F6*1000/F3</f>
        <v>752.87356321839081</v>
      </c>
      <c r="G4" s="19">
        <f>+G6*1000/G3</f>
        <v>950.76923076923072</v>
      </c>
      <c r="H4" s="19">
        <f>+H6*1000/H3</f>
        <v>1102.7027027027027</v>
      </c>
      <c r="I4" s="19">
        <f>+I6*1000/I3</f>
        <v>1161.8357487922706</v>
      </c>
      <c r="J4" s="19">
        <f>+J6*1000/J3</f>
        <v>1144.8275862068965</v>
      </c>
      <c r="K4" s="19">
        <f t="shared" ref="K4:N4" si="3">+J4</f>
        <v>1144.8275862068965</v>
      </c>
      <c r="L4" s="19">
        <f t="shared" si="3"/>
        <v>1144.8275862068965</v>
      </c>
      <c r="M4" s="19">
        <f t="shared" si="3"/>
        <v>1144.8275862068965</v>
      </c>
      <c r="N4" s="19">
        <f t="shared" si="3"/>
        <v>1144.8275862068965</v>
      </c>
    </row>
    <row r="5" spans="1:27" x14ac:dyDescent="0.2">
      <c r="K5" s="3"/>
      <c r="L5" s="3"/>
      <c r="M5" s="3"/>
      <c r="N5" s="3"/>
    </row>
    <row r="6" spans="1:27" x14ac:dyDescent="0.2">
      <c r="B6" t="s">
        <v>18</v>
      </c>
      <c r="E6" s="3">
        <v>1.7</v>
      </c>
      <c r="F6" s="3">
        <v>13.1</v>
      </c>
      <c r="G6" s="4">
        <v>24.72</v>
      </c>
      <c r="H6" s="3">
        <v>40.799999999999997</v>
      </c>
      <c r="I6" s="3">
        <v>48.1</v>
      </c>
      <c r="J6" s="4">
        <f>+J8</f>
        <v>66.400000000000006</v>
      </c>
    </row>
    <row r="7" spans="1:27" x14ac:dyDescent="0.2">
      <c r="B7" t="s">
        <v>19</v>
      </c>
      <c r="E7" s="4">
        <v>0.218</v>
      </c>
      <c r="G7" s="4">
        <v>2.8940000000000001</v>
      </c>
    </row>
    <row r="8" spans="1:27" s="16" customFormat="1" x14ac:dyDescent="0.2">
      <c r="B8" s="16" t="s">
        <v>10</v>
      </c>
      <c r="C8" s="17"/>
      <c r="D8" s="17"/>
      <c r="E8" s="18">
        <f t="shared" ref="E8" si="4">+E6+E7</f>
        <v>1.9179999999999999</v>
      </c>
      <c r="F8" s="18">
        <f>+F6+F7</f>
        <v>13.1</v>
      </c>
      <c r="G8" s="18">
        <f>+G6+G7</f>
        <v>27.613999999999997</v>
      </c>
      <c r="H8" s="18">
        <f>+H6+H7</f>
        <v>40.799999999999997</v>
      </c>
      <c r="I8" s="18">
        <v>48.118000000000002</v>
      </c>
      <c r="J8" s="18">
        <v>66.400000000000006</v>
      </c>
      <c r="K8" s="18">
        <f t="shared" ref="K8:N8" si="5">+K4*K3/1000</f>
        <v>77.848275862068959</v>
      </c>
      <c r="L8" s="18">
        <f t="shared" si="5"/>
        <v>89.296551724137927</v>
      </c>
      <c r="M8" s="18">
        <f t="shared" si="5"/>
        <v>100.7448275862069</v>
      </c>
      <c r="N8" s="18">
        <f t="shared" si="5"/>
        <v>112.19310344827585</v>
      </c>
      <c r="S8" s="23">
        <f>SUM(G8:J8)</f>
        <v>182.93199999999999</v>
      </c>
      <c r="T8" s="23">
        <f>SUM(K8:N8)</f>
        <v>380.08275862068962</v>
      </c>
      <c r="U8" s="23">
        <f>+T8*1.25</f>
        <v>475.10344827586204</v>
      </c>
      <c r="V8" s="23">
        <f>+U8*1.2</f>
        <v>570.1241379310344</v>
      </c>
      <c r="W8" s="23">
        <f>+V8*1.2</f>
        <v>684.14896551724121</v>
      </c>
      <c r="X8" s="23">
        <f>+W8*1.15</f>
        <v>786.77131034482738</v>
      </c>
      <c r="Y8" s="23">
        <f>+X8*1.1</f>
        <v>865.44844137931022</v>
      </c>
      <c r="Z8" s="23">
        <f t="shared" ref="Z8:AA8" si="6">+Y8*1.1</f>
        <v>951.99328551724136</v>
      </c>
      <c r="AA8" s="23">
        <f t="shared" si="6"/>
        <v>1047.1926140689657</v>
      </c>
    </row>
    <row r="9" spans="1:27" x14ac:dyDescent="0.2">
      <c r="B9" t="s">
        <v>22</v>
      </c>
      <c r="E9" s="4">
        <v>0.377</v>
      </c>
      <c r="F9" s="4">
        <v>1.216</v>
      </c>
      <c r="G9" s="4">
        <v>1.6539999999999999</v>
      </c>
      <c r="H9" s="4">
        <v>3.004</v>
      </c>
      <c r="I9" s="4">
        <v>3.242</v>
      </c>
      <c r="J9" s="4">
        <v>4.9260000000000002</v>
      </c>
      <c r="K9" s="4">
        <f t="shared" ref="K9:N9" si="7">+K8-K10</f>
        <v>5.449379310344824</v>
      </c>
      <c r="L9" s="4">
        <f t="shared" si="7"/>
        <v>6.2507586206896519</v>
      </c>
      <c r="M9" s="4">
        <f t="shared" si="7"/>
        <v>7.0521379310344798</v>
      </c>
      <c r="N9" s="4">
        <f t="shared" si="7"/>
        <v>7.8535172413793077</v>
      </c>
      <c r="S9" s="22">
        <f>SUM(G9:J9)</f>
        <v>12.826000000000001</v>
      </c>
      <c r="T9" s="22">
        <f>SUM(K9:N9)</f>
        <v>26.605793103448264</v>
      </c>
      <c r="U9" s="22">
        <f>+U8-U10</f>
        <v>33.257241379310301</v>
      </c>
      <c r="V9" s="22">
        <f t="shared" ref="V9:Y9" si="8">+V8-V10</f>
        <v>39.908689655172338</v>
      </c>
      <c r="W9" s="22">
        <f t="shared" si="8"/>
        <v>47.890427586206897</v>
      </c>
      <c r="X9" s="22">
        <f t="shared" si="8"/>
        <v>55.073991724137841</v>
      </c>
      <c r="Y9" s="22">
        <f t="shared" si="8"/>
        <v>60.581390896551625</v>
      </c>
      <c r="Z9" s="22">
        <f t="shared" ref="Z9:AA9" si="9">+Z8-Z10</f>
        <v>66.639529986206867</v>
      </c>
      <c r="AA9" s="22">
        <f t="shared" si="9"/>
        <v>73.303482984827497</v>
      </c>
    </row>
    <row r="10" spans="1:27" x14ac:dyDescent="0.2">
      <c r="B10" t="s">
        <v>23</v>
      </c>
      <c r="E10" s="4">
        <f t="shared" ref="E10" si="10">+E8-E9</f>
        <v>1.5409999999999999</v>
      </c>
      <c r="F10" s="4">
        <f>+F8-F9</f>
        <v>11.884</v>
      </c>
      <c r="G10" s="4">
        <f>+G8-G9</f>
        <v>25.959999999999997</v>
      </c>
      <c r="H10" s="4">
        <f>+H8-H9</f>
        <v>37.795999999999999</v>
      </c>
      <c r="I10" s="4">
        <f>+I8-I9</f>
        <v>44.876000000000005</v>
      </c>
      <c r="J10" s="4">
        <f>+J8-J9</f>
        <v>61.474000000000004</v>
      </c>
      <c r="K10" s="4">
        <f t="shared" ref="K10:N10" si="11">+K8*0.93</f>
        <v>72.398896551724135</v>
      </c>
      <c r="L10" s="4">
        <f t="shared" si="11"/>
        <v>83.045793103448275</v>
      </c>
      <c r="M10" s="4">
        <f t="shared" si="11"/>
        <v>93.692689655172416</v>
      </c>
      <c r="N10" s="4">
        <f t="shared" si="11"/>
        <v>104.33958620689654</v>
      </c>
      <c r="S10" s="22">
        <f>+S8-S9</f>
        <v>170.10599999999999</v>
      </c>
      <c r="T10" s="22">
        <f>+T8-T9</f>
        <v>353.47696551724135</v>
      </c>
      <c r="U10" s="22">
        <f>+U8*0.93</f>
        <v>441.84620689655173</v>
      </c>
      <c r="V10" s="22">
        <f t="shared" ref="V10:Y10" si="12">+V8*0.93</f>
        <v>530.21544827586206</v>
      </c>
      <c r="W10" s="22">
        <f t="shared" si="12"/>
        <v>636.25853793103431</v>
      </c>
      <c r="X10" s="22">
        <f t="shared" si="12"/>
        <v>731.69731862068954</v>
      </c>
      <c r="Y10" s="22">
        <f t="shared" si="12"/>
        <v>804.8670504827586</v>
      </c>
      <c r="Z10" s="22">
        <f t="shared" ref="Z10:AA10" si="13">+Z8*0.93</f>
        <v>885.35375553103449</v>
      </c>
      <c r="AA10" s="22">
        <f t="shared" si="13"/>
        <v>973.88913108413817</v>
      </c>
    </row>
    <row r="11" spans="1:27" x14ac:dyDescent="0.2">
      <c r="B11" t="s">
        <v>24</v>
      </c>
      <c r="E11" s="4">
        <v>12.105</v>
      </c>
      <c r="F11" s="4">
        <v>13.305</v>
      </c>
      <c r="G11" s="4">
        <v>12.066000000000001</v>
      </c>
      <c r="H11" s="4">
        <v>12.319000000000001</v>
      </c>
      <c r="I11" s="4">
        <v>12.128</v>
      </c>
      <c r="J11" s="4">
        <v>16.873000000000001</v>
      </c>
      <c r="S11" s="22">
        <f t="shared" ref="S11:S12" si="14">SUM(G11:J11)</f>
        <v>53.38600000000001</v>
      </c>
      <c r="T11" s="22">
        <f>SUM(K11:N11)</f>
        <v>0</v>
      </c>
    </row>
    <row r="12" spans="1:27" x14ac:dyDescent="0.2">
      <c r="B12" t="s">
        <v>25</v>
      </c>
      <c r="E12" s="4">
        <v>30.324000000000002</v>
      </c>
      <c r="F12" s="4">
        <v>43.005000000000003</v>
      </c>
      <c r="G12" s="4">
        <v>51.578000000000003</v>
      </c>
      <c r="H12" s="4">
        <v>58.792000000000002</v>
      </c>
      <c r="I12" s="21">
        <v>57.91</v>
      </c>
      <c r="J12" s="21">
        <v>69.03</v>
      </c>
      <c r="K12" s="21">
        <f t="shared" ref="K12:N12" si="15">+K10*0.3</f>
        <v>21.71966896551724</v>
      </c>
      <c r="L12" s="21">
        <f t="shared" si="15"/>
        <v>24.913737931034483</v>
      </c>
      <c r="M12" s="21">
        <f t="shared" si="15"/>
        <v>28.107806896551725</v>
      </c>
      <c r="N12" s="21">
        <f t="shared" si="15"/>
        <v>31.301875862068961</v>
      </c>
      <c r="S12" s="22">
        <f t="shared" si="14"/>
        <v>237.31</v>
      </c>
      <c r="T12" s="22">
        <f>SUM(K12:N12)</f>
        <v>106.04308965517239</v>
      </c>
      <c r="U12" s="22">
        <f>+U8*0.3</f>
        <v>142.5310344827586</v>
      </c>
      <c r="V12" s="22">
        <f>+V8*0.25</f>
        <v>142.5310344827586</v>
      </c>
      <c r="W12" s="22">
        <f>+W8*0.2</f>
        <v>136.82979310344825</v>
      </c>
      <c r="X12" s="22">
        <f>+X8*0.15</f>
        <v>118.0156965517241</v>
      </c>
      <c r="Y12" s="22">
        <f>+Y8*0.1</f>
        <v>86.544844137931022</v>
      </c>
      <c r="Z12" s="22">
        <f t="shared" ref="Z12:AA12" si="16">+Z8*0.1</f>
        <v>95.199328551724136</v>
      </c>
      <c r="AA12" s="22">
        <f t="shared" si="16"/>
        <v>104.71926140689658</v>
      </c>
    </row>
    <row r="13" spans="1:27" x14ac:dyDescent="0.2">
      <c r="B13" t="s">
        <v>20</v>
      </c>
      <c r="E13" s="4">
        <f t="shared" ref="E13" si="17">+E12+E11</f>
        <v>42.429000000000002</v>
      </c>
      <c r="F13" s="4">
        <f>+F12+F11</f>
        <v>56.31</v>
      </c>
      <c r="G13" s="4">
        <f>+G12+G11</f>
        <v>63.644000000000005</v>
      </c>
      <c r="H13" s="4">
        <f>+H12+H11</f>
        <v>71.111000000000004</v>
      </c>
      <c r="I13" s="4">
        <f t="shared" ref="I13:N13" si="18">+I12+I11</f>
        <v>70.037999999999997</v>
      </c>
      <c r="J13" s="4">
        <f>+J12+J11</f>
        <v>85.903000000000006</v>
      </c>
      <c r="K13" s="4">
        <f t="shared" si="18"/>
        <v>21.71966896551724</v>
      </c>
      <c r="L13" s="4">
        <f t="shared" si="18"/>
        <v>24.913737931034483</v>
      </c>
      <c r="M13" s="4">
        <f t="shared" si="18"/>
        <v>28.107806896551725</v>
      </c>
      <c r="N13" s="4">
        <f t="shared" si="18"/>
        <v>31.301875862068961</v>
      </c>
      <c r="S13" s="22">
        <f t="shared" ref="S13" si="19">+S12+S11</f>
        <v>290.69600000000003</v>
      </c>
      <c r="T13" s="22">
        <f>+T12+T11</f>
        <v>106.04308965517239</v>
      </c>
      <c r="U13" s="22">
        <f t="shared" ref="U13:Y13" si="20">+U12+U11</f>
        <v>142.5310344827586</v>
      </c>
      <c r="V13" s="22">
        <f t="shared" si="20"/>
        <v>142.5310344827586</v>
      </c>
      <c r="W13" s="22">
        <f t="shared" si="20"/>
        <v>136.82979310344825</v>
      </c>
      <c r="X13" s="22">
        <f t="shared" si="20"/>
        <v>118.0156965517241</v>
      </c>
      <c r="Y13" s="22">
        <f t="shared" si="20"/>
        <v>86.544844137931022</v>
      </c>
      <c r="Z13" s="22">
        <f t="shared" ref="Z13:AA13" si="21">+Z12+Z11</f>
        <v>95.199328551724136</v>
      </c>
      <c r="AA13" s="22">
        <f t="shared" si="21"/>
        <v>104.71926140689658</v>
      </c>
    </row>
    <row r="14" spans="1:27" x14ac:dyDescent="0.2">
      <c r="B14" t="s">
        <v>21</v>
      </c>
      <c r="E14" s="4">
        <f t="shared" ref="E14" si="22">+E10-E13</f>
        <v>-40.888000000000005</v>
      </c>
      <c r="F14" s="4">
        <f>+F10-F13</f>
        <v>-44.426000000000002</v>
      </c>
      <c r="G14" s="4">
        <f>+G10-G13</f>
        <v>-37.684000000000012</v>
      </c>
      <c r="H14" s="4">
        <f>+H10-H13</f>
        <v>-33.315000000000005</v>
      </c>
      <c r="I14" s="4">
        <f t="shared" ref="I14:N14" si="23">+I10-I13</f>
        <v>-25.161999999999992</v>
      </c>
      <c r="J14" s="4">
        <f>+J10-J13</f>
        <v>-24.429000000000002</v>
      </c>
      <c r="K14" s="4">
        <f t="shared" si="23"/>
        <v>50.679227586206892</v>
      </c>
      <c r="L14" s="4">
        <f t="shared" si="23"/>
        <v>58.132055172413793</v>
      </c>
      <c r="M14" s="4">
        <f t="shared" si="23"/>
        <v>65.584882758620694</v>
      </c>
      <c r="N14" s="4">
        <f t="shared" si="23"/>
        <v>73.037710344827588</v>
      </c>
      <c r="S14" s="22">
        <f t="shared" ref="S14" si="24">+S10-S13</f>
        <v>-120.59000000000003</v>
      </c>
      <c r="T14" s="22">
        <f>+T10-T13</f>
        <v>247.43387586206896</v>
      </c>
      <c r="U14" s="22">
        <f t="shared" ref="U14:Y14" si="25">+U10-U13</f>
        <v>299.31517241379311</v>
      </c>
      <c r="V14" s="22">
        <f t="shared" si="25"/>
        <v>387.68441379310343</v>
      </c>
      <c r="W14" s="22">
        <f t="shared" si="25"/>
        <v>499.42874482758606</v>
      </c>
      <c r="X14" s="22">
        <f t="shared" si="25"/>
        <v>613.68162206896545</v>
      </c>
      <c r="Y14" s="22">
        <f t="shared" si="25"/>
        <v>718.32220634482758</v>
      </c>
      <c r="Z14" s="22">
        <f t="shared" ref="Z14:AA14" si="26">+Z10-Z13</f>
        <v>790.1544269793103</v>
      </c>
      <c r="AA14" s="22">
        <f t="shared" si="26"/>
        <v>869.16986967724165</v>
      </c>
    </row>
    <row r="15" spans="1:27" s="22" customFormat="1" x14ac:dyDescent="0.2">
      <c r="B15" s="22" t="s">
        <v>26</v>
      </c>
      <c r="C15" s="4"/>
      <c r="D15" s="4"/>
      <c r="E15" s="4">
        <f>2.84-0.858-0.048</f>
        <v>1.9339999999999997</v>
      </c>
      <c r="F15" s="4">
        <f>2.978-0.989-0.013</f>
        <v>1.9760000000000004</v>
      </c>
      <c r="G15" s="4">
        <f>3.117-0.983+0.605</f>
        <v>2.7389999999999999</v>
      </c>
      <c r="H15" s="4">
        <f>4.13-2.109</f>
        <v>2.0209999999999999</v>
      </c>
      <c r="I15" s="4">
        <f>4.12-2.445</f>
        <v>1.6750000000000003</v>
      </c>
      <c r="J15" s="4">
        <v>1.3080000000000001</v>
      </c>
      <c r="S15" s="22">
        <f t="shared" ref="S15:S17" si="27">SUM(G15:J15)</f>
        <v>7.7430000000000003</v>
      </c>
      <c r="T15" s="22">
        <f>SUM(K15:N15)</f>
        <v>0</v>
      </c>
      <c r="U15" s="22">
        <f t="shared" ref="U15:AA15" si="28">+T25*$AD$25</f>
        <v>24.744255034482759</v>
      </c>
      <c r="V15" s="22">
        <f t="shared" si="28"/>
        <v>37.706632132413795</v>
      </c>
      <c r="W15" s="22">
        <f t="shared" si="28"/>
        <v>54.722273969434482</v>
      </c>
      <c r="X15" s="22">
        <f t="shared" si="28"/>
        <v>76.888314721315311</v>
      </c>
      <c r="Y15" s="22">
        <f t="shared" si="28"/>
        <v>104.51111219292653</v>
      </c>
      <c r="Z15" s="22">
        <f t="shared" si="28"/>
        <v>137.42444493443668</v>
      </c>
      <c r="AA15" s="22">
        <f t="shared" si="28"/>
        <v>174.52759981098657</v>
      </c>
    </row>
    <row r="16" spans="1:27" x14ac:dyDescent="0.2">
      <c r="B16" t="s">
        <v>27</v>
      </c>
      <c r="E16" s="4">
        <f t="shared" ref="E16" si="29">+E14+E15</f>
        <v>-38.954000000000008</v>
      </c>
      <c r="F16" s="4">
        <f>+F14+F15</f>
        <v>-42.45</v>
      </c>
      <c r="G16" s="4">
        <f>+G14+G15</f>
        <v>-34.945000000000014</v>
      </c>
      <c r="H16" s="4">
        <f>+H14+H15</f>
        <v>-31.294000000000004</v>
      </c>
      <c r="I16" s="4">
        <f>+I14+I15</f>
        <v>-23.486999999999991</v>
      </c>
      <c r="J16" s="4">
        <f>+J14+J15</f>
        <v>-23.121000000000002</v>
      </c>
      <c r="K16" s="4">
        <f t="shared" ref="K16:N16" si="30">+K14+K15</f>
        <v>50.679227586206892</v>
      </c>
      <c r="L16" s="4">
        <f t="shared" si="30"/>
        <v>58.132055172413793</v>
      </c>
      <c r="M16" s="4">
        <f t="shared" si="30"/>
        <v>65.584882758620694</v>
      </c>
      <c r="N16" s="4">
        <f t="shared" si="30"/>
        <v>73.037710344827588</v>
      </c>
      <c r="S16" s="22">
        <f>+S14+S15</f>
        <v>-112.84700000000004</v>
      </c>
      <c r="T16" s="22">
        <f>+T14+T15</f>
        <v>247.43387586206896</v>
      </c>
      <c r="U16" s="22">
        <f t="shared" ref="U16:Y16" si="31">+U14+U15</f>
        <v>324.05942744827587</v>
      </c>
      <c r="V16" s="22">
        <f t="shared" si="31"/>
        <v>425.39104592551723</v>
      </c>
      <c r="W16" s="22">
        <f t="shared" si="31"/>
        <v>554.15101879702058</v>
      </c>
      <c r="X16" s="22">
        <f t="shared" si="31"/>
        <v>690.56993679028074</v>
      </c>
      <c r="Y16" s="22">
        <f t="shared" si="31"/>
        <v>822.83331853775417</v>
      </c>
      <c r="Z16" s="22">
        <f t="shared" ref="Z16:AA16" si="32">+Z14+Z15</f>
        <v>927.57887191374698</v>
      </c>
      <c r="AA16" s="22">
        <f t="shared" si="32"/>
        <v>1043.6974694882283</v>
      </c>
    </row>
    <row r="17" spans="2:42" x14ac:dyDescent="0.2">
      <c r="B17" t="s">
        <v>28</v>
      </c>
      <c r="E17" s="4">
        <v>0</v>
      </c>
      <c r="F17" s="4">
        <v>0</v>
      </c>
      <c r="G17" s="4">
        <v>-6.0999999999999999E-2</v>
      </c>
      <c r="H17" s="4">
        <v>0</v>
      </c>
      <c r="I17" s="21">
        <v>0</v>
      </c>
      <c r="J17" s="21">
        <v>0</v>
      </c>
      <c r="K17" s="21">
        <f t="shared" ref="K17:N17" si="33">+K16*0.2</f>
        <v>10.135845517241378</v>
      </c>
      <c r="L17" s="21">
        <f t="shared" si="33"/>
        <v>11.626411034482759</v>
      </c>
      <c r="M17" s="21">
        <f t="shared" si="33"/>
        <v>13.116976551724139</v>
      </c>
      <c r="N17" s="21">
        <f t="shared" si="33"/>
        <v>14.607542068965518</v>
      </c>
      <c r="S17" s="22">
        <f t="shared" si="27"/>
        <v>-6.0999999999999999E-2</v>
      </c>
      <c r="T17" s="22">
        <f>SUM(K17:N17)</f>
        <v>49.486775172413786</v>
      </c>
      <c r="U17" s="22">
        <f>+U16*0.2</f>
        <v>64.811885489655182</v>
      </c>
      <c r="V17" s="22">
        <f t="shared" ref="V17:Y17" si="34">+V16*0.2</f>
        <v>85.078209185103447</v>
      </c>
      <c r="W17" s="22">
        <f t="shared" si="34"/>
        <v>110.83020375940413</v>
      </c>
      <c r="X17" s="22">
        <f t="shared" si="34"/>
        <v>138.11398735805616</v>
      </c>
      <c r="Y17" s="22">
        <f t="shared" si="34"/>
        <v>164.56666370755084</v>
      </c>
      <c r="Z17" s="22">
        <f t="shared" ref="Z17:AA17" si="35">+Z16*0.2</f>
        <v>185.51577438274941</v>
      </c>
      <c r="AA17" s="22">
        <f t="shared" si="35"/>
        <v>208.73949389764567</v>
      </c>
    </row>
    <row r="18" spans="2:42" x14ac:dyDescent="0.2">
      <c r="B18" t="s">
        <v>29</v>
      </c>
      <c r="E18" s="4">
        <f t="shared" ref="E18" si="36">+E16-E17</f>
        <v>-38.954000000000008</v>
      </c>
      <c r="F18" s="4">
        <f>+F16-F17</f>
        <v>-42.45</v>
      </c>
      <c r="G18" s="4">
        <f>+G16-G17</f>
        <v>-34.884000000000015</v>
      </c>
      <c r="H18" s="4">
        <f>+H16-H17</f>
        <v>-31.294000000000004</v>
      </c>
      <c r="I18" s="4">
        <f>+I16-I17</f>
        <v>-23.486999999999991</v>
      </c>
      <c r="J18" s="4">
        <f t="shared" ref="J18:N18" si="37">+J16-J17</f>
        <v>-23.121000000000002</v>
      </c>
      <c r="K18" s="4">
        <f t="shared" si="37"/>
        <v>40.543382068965514</v>
      </c>
      <c r="L18" s="4">
        <f t="shared" si="37"/>
        <v>46.505644137931036</v>
      </c>
      <c r="M18" s="4">
        <f t="shared" si="37"/>
        <v>52.467906206896558</v>
      </c>
      <c r="N18" s="4">
        <f t="shared" si="37"/>
        <v>58.430168275862073</v>
      </c>
      <c r="S18" s="22">
        <f>+S16-S17</f>
        <v>-112.78600000000003</v>
      </c>
      <c r="T18" s="22">
        <f>+T16-T17</f>
        <v>197.94710068965517</v>
      </c>
      <c r="U18" s="22">
        <f t="shared" ref="U18:Y18" si="38">+U16-U17</f>
        <v>259.24754195862067</v>
      </c>
      <c r="V18" s="22">
        <f t="shared" si="38"/>
        <v>340.31283674041379</v>
      </c>
      <c r="W18" s="22">
        <f t="shared" si="38"/>
        <v>443.32081503761646</v>
      </c>
      <c r="X18" s="22">
        <f t="shared" si="38"/>
        <v>552.45594943222454</v>
      </c>
      <c r="Y18" s="22">
        <f t="shared" si="38"/>
        <v>658.26665483020338</v>
      </c>
      <c r="Z18" s="22">
        <f t="shared" ref="Z18:AA18" si="39">+Z16-Z17</f>
        <v>742.06309753099754</v>
      </c>
      <c r="AA18" s="22">
        <f t="shared" si="39"/>
        <v>834.95797559058269</v>
      </c>
      <c r="AB18" s="22">
        <f t="shared" ref="AB18:AP18" si="40">+AA18*(1+$AD$23)</f>
        <v>417.47898779529135</v>
      </c>
      <c r="AC18" s="22">
        <f t="shared" si="40"/>
        <v>208.73949389764567</v>
      </c>
      <c r="AD18" s="22">
        <f t="shared" si="40"/>
        <v>104.36974694882284</v>
      </c>
      <c r="AE18" s="22">
        <f t="shared" si="40"/>
        <v>52.184873474411418</v>
      </c>
      <c r="AF18" s="22">
        <f t="shared" si="40"/>
        <v>26.092436737205709</v>
      </c>
      <c r="AG18" s="22">
        <f t="shared" si="40"/>
        <v>13.046218368602855</v>
      </c>
      <c r="AH18" s="22">
        <f t="shared" si="40"/>
        <v>6.5231091843014273</v>
      </c>
      <c r="AI18" s="22">
        <f t="shared" si="40"/>
        <v>3.2615545921507136</v>
      </c>
      <c r="AJ18" s="22">
        <f t="shared" si="40"/>
        <v>1.6307772960753568</v>
      </c>
      <c r="AK18" s="22">
        <f t="shared" si="40"/>
        <v>0.81538864803767841</v>
      </c>
      <c r="AL18" s="22">
        <f t="shared" si="40"/>
        <v>0.4076943240188392</v>
      </c>
      <c r="AM18" s="22">
        <f t="shared" si="40"/>
        <v>0.2038471620094196</v>
      </c>
      <c r="AN18" s="22">
        <f t="shared" si="40"/>
        <v>0.1019235810047098</v>
      </c>
      <c r="AO18" s="22">
        <f t="shared" si="40"/>
        <v>5.0961790502354901E-2</v>
      </c>
      <c r="AP18" s="22">
        <f t="shared" si="40"/>
        <v>2.548089525117745E-2</v>
      </c>
    </row>
    <row r="19" spans="2:42" x14ac:dyDescent="0.2">
      <c r="B19" t="s">
        <v>30</v>
      </c>
      <c r="E19" s="5">
        <f t="shared" ref="E19" si="41">+E18/E20</f>
        <v>-1.2720736819143088</v>
      </c>
      <c r="F19" s="5">
        <f>+F18/F20</f>
        <v>-1.328878194836834</v>
      </c>
      <c r="G19" s="5">
        <f>+G18/G20</f>
        <v>-0.98819696121785883</v>
      </c>
      <c r="H19" s="5">
        <f>+H18/H20</f>
        <v>-0.82737506865158783</v>
      </c>
      <c r="I19" s="5">
        <f>+I18/I20</f>
        <v>-0.61192797617881378</v>
      </c>
      <c r="J19" s="5">
        <f t="shared" ref="J19:N19" si="42">+J18/J20</f>
        <v>-0.59959689226189627</v>
      </c>
      <c r="K19" s="5">
        <f t="shared" si="42"/>
        <v>1.051411525900195</v>
      </c>
      <c r="L19" s="5">
        <f t="shared" si="42"/>
        <v>1.2060308679443414</v>
      </c>
      <c r="M19" s="5">
        <f t="shared" si="42"/>
        <v>1.3606502099884881</v>
      </c>
      <c r="N19" s="5">
        <f t="shared" si="42"/>
        <v>1.5152695520326342</v>
      </c>
      <c r="S19" s="1">
        <f t="shared" ref="S19:Y19" si="43">+S18/S20</f>
        <v>-3.0062886076912325</v>
      </c>
      <c r="T19" s="1">
        <f t="shared" si="43"/>
        <v>5.133362155865659</v>
      </c>
      <c r="U19" s="1">
        <f t="shared" si="43"/>
        <v>6.7230664973368146</v>
      </c>
      <c r="V19" s="1">
        <f t="shared" si="43"/>
        <v>8.8253327843251661</v>
      </c>
      <c r="W19" s="1">
        <f t="shared" si="43"/>
        <v>11.496638682218146</v>
      </c>
      <c r="X19" s="1">
        <f t="shared" si="43"/>
        <v>14.326840118989539</v>
      </c>
      <c r="Y19" s="1">
        <f t="shared" si="43"/>
        <v>17.070829138697473</v>
      </c>
      <c r="Z19" s="1">
        <f t="shared" ref="Z19:AA19" si="44">+Z18/Z20</f>
        <v>19.243922284582091</v>
      </c>
      <c r="AA19" s="1">
        <f t="shared" si="44"/>
        <v>21.652965154335782</v>
      </c>
    </row>
    <row r="20" spans="2:42" x14ac:dyDescent="0.2">
      <c r="B20" t="s">
        <v>1</v>
      </c>
      <c r="E20" s="4">
        <v>30.622440000000001</v>
      </c>
      <c r="F20" s="4">
        <v>31.944237000000001</v>
      </c>
      <c r="G20" s="4">
        <v>35.300654999999999</v>
      </c>
      <c r="H20" s="4">
        <v>37.823233000000002</v>
      </c>
      <c r="I20" s="4">
        <v>38.381968000000001</v>
      </c>
      <c r="J20" s="4">
        <v>38.560907</v>
      </c>
      <c r="K20" s="4">
        <f t="shared" ref="K20:N20" si="45">+J20</f>
        <v>38.560907</v>
      </c>
      <c r="L20" s="4">
        <f t="shared" si="45"/>
        <v>38.560907</v>
      </c>
      <c r="M20" s="4">
        <f t="shared" si="45"/>
        <v>38.560907</v>
      </c>
      <c r="N20" s="4">
        <f t="shared" si="45"/>
        <v>38.560907</v>
      </c>
      <c r="S20" s="22">
        <f>AVERAGE(G20:J20)</f>
        <v>37.516690749999995</v>
      </c>
      <c r="T20" s="22">
        <f>AVERAGE(K20:N20)</f>
        <v>38.560907</v>
      </c>
      <c r="U20" s="22">
        <f>+T20</f>
        <v>38.560907</v>
      </c>
      <c r="V20" s="22">
        <f t="shared" ref="V20:Y20" si="46">+U20</f>
        <v>38.560907</v>
      </c>
      <c r="W20" s="22">
        <f t="shared" si="46"/>
        <v>38.560907</v>
      </c>
      <c r="X20" s="22">
        <f t="shared" si="46"/>
        <v>38.560907</v>
      </c>
      <c r="Y20" s="22">
        <f t="shared" si="46"/>
        <v>38.560907</v>
      </c>
      <c r="Z20" s="22">
        <f t="shared" ref="Z20" si="47">+Y20</f>
        <v>38.560907</v>
      </c>
      <c r="AA20" s="22">
        <f t="shared" ref="AA20" si="48">+Z20</f>
        <v>38.560907</v>
      </c>
    </row>
    <row r="22" spans="2:42" x14ac:dyDescent="0.2">
      <c r="B22" t="s">
        <v>55</v>
      </c>
      <c r="I22" s="20">
        <f t="shared" ref="I22:N22" si="49">+I8/E8-1</f>
        <v>24.087591240875913</v>
      </c>
      <c r="J22" s="20">
        <f t="shared" si="49"/>
        <v>4.0687022900763363</v>
      </c>
      <c r="K22" s="20">
        <f t="shared" si="49"/>
        <v>1.81915969660567</v>
      </c>
      <c r="L22" s="20">
        <f t="shared" si="49"/>
        <v>1.1886409736308319</v>
      </c>
      <c r="M22" s="20">
        <f t="shared" si="49"/>
        <v>1.0937035534770128</v>
      </c>
      <c r="N22" s="20">
        <f t="shared" si="49"/>
        <v>0.68965517241379271</v>
      </c>
    </row>
    <row r="23" spans="2:42" x14ac:dyDescent="0.2">
      <c r="B23" t="s">
        <v>49</v>
      </c>
      <c r="E23" s="20">
        <f>+E10/E8</f>
        <v>0.80344108446298224</v>
      </c>
      <c r="F23" s="20">
        <f t="shared" ref="F23:N23" si="50">+F10/F8</f>
        <v>0.90717557251908398</v>
      </c>
      <c r="G23" s="20">
        <f t="shared" si="50"/>
        <v>0.94010284638226982</v>
      </c>
      <c r="H23" s="20">
        <f t="shared" si="50"/>
        <v>0.92637254901960786</v>
      </c>
      <c r="I23" s="20">
        <f t="shared" si="50"/>
        <v>0.93262396608337839</v>
      </c>
      <c r="J23" s="20">
        <f t="shared" si="50"/>
        <v>0.9258132530120482</v>
      </c>
      <c r="K23" s="20">
        <f t="shared" si="50"/>
        <v>0.93</v>
      </c>
      <c r="L23" s="20">
        <f t="shared" si="50"/>
        <v>0.93</v>
      </c>
      <c r="M23" s="20">
        <f t="shared" si="50"/>
        <v>0.93</v>
      </c>
      <c r="N23" s="20">
        <f t="shared" si="50"/>
        <v>0.93</v>
      </c>
      <c r="S23" s="20">
        <f t="shared" ref="S23:AA23" si="51">+S10/S8</f>
        <v>0.92988651520783683</v>
      </c>
      <c r="T23" s="20">
        <f t="shared" si="51"/>
        <v>0.93</v>
      </c>
      <c r="U23" s="20">
        <f t="shared" si="51"/>
        <v>0.93</v>
      </c>
      <c r="V23" s="20">
        <f t="shared" si="51"/>
        <v>0.93000000000000016</v>
      </c>
      <c r="W23" s="20">
        <f t="shared" si="51"/>
        <v>0.92999999999999994</v>
      </c>
      <c r="X23" s="20">
        <f t="shared" si="51"/>
        <v>0.93</v>
      </c>
      <c r="Y23" s="20">
        <f t="shared" si="51"/>
        <v>0.93000000000000016</v>
      </c>
      <c r="Z23" s="20">
        <f t="shared" si="51"/>
        <v>0.93</v>
      </c>
      <c r="AA23" s="20">
        <f t="shared" si="51"/>
        <v>0.93</v>
      </c>
      <c r="AC23" t="s">
        <v>50</v>
      </c>
      <c r="AD23" s="24">
        <v>-0.5</v>
      </c>
    </row>
    <row r="24" spans="2:42" x14ac:dyDescent="0.2">
      <c r="AC24" t="s">
        <v>51</v>
      </c>
      <c r="AD24" s="24">
        <v>0.08</v>
      </c>
    </row>
    <row r="25" spans="2:42" x14ac:dyDescent="0.2">
      <c r="B25" t="s">
        <v>3</v>
      </c>
      <c r="H25" s="19">
        <f>181.095+142.485+3</f>
        <v>326.58000000000004</v>
      </c>
      <c r="I25" s="19">
        <f>176.21+140.742+3</f>
        <v>319.952</v>
      </c>
      <c r="J25" s="19">
        <f>94.819+196.557+2.562+3</f>
        <v>296.93799999999999</v>
      </c>
      <c r="K25" s="19">
        <f t="shared" ref="K25:N25" si="52">+J25+K18</f>
        <v>337.4813820689655</v>
      </c>
      <c r="L25" s="19">
        <f t="shared" si="52"/>
        <v>383.98702620689653</v>
      </c>
      <c r="M25" s="19">
        <f t="shared" si="52"/>
        <v>436.45493241379307</v>
      </c>
      <c r="N25" s="19">
        <f t="shared" si="52"/>
        <v>494.88510068965513</v>
      </c>
      <c r="T25" s="2">
        <f>+N25</f>
        <v>494.88510068965513</v>
      </c>
      <c r="U25" s="2">
        <f>+T25+U18</f>
        <v>754.13264264827581</v>
      </c>
      <c r="V25" s="2">
        <f t="shared" ref="V25:AA25" si="53">+U25+V18</f>
        <v>1094.4454793886896</v>
      </c>
      <c r="W25" s="2">
        <f t="shared" si="53"/>
        <v>1537.7662944263061</v>
      </c>
      <c r="X25" s="2">
        <f t="shared" si="53"/>
        <v>2090.2222438585304</v>
      </c>
      <c r="Y25" s="2">
        <f t="shared" si="53"/>
        <v>2748.4888986887336</v>
      </c>
      <c r="Z25" s="2">
        <f t="shared" si="53"/>
        <v>3490.5519962197313</v>
      </c>
      <c r="AA25" s="2">
        <f t="shared" si="53"/>
        <v>4325.5099718103138</v>
      </c>
      <c r="AC25" t="s">
        <v>54</v>
      </c>
      <c r="AD25" s="24">
        <v>0.05</v>
      </c>
    </row>
    <row r="26" spans="2:42" s="2" customFormat="1" x14ac:dyDescent="0.2">
      <c r="B26" s="2" t="s">
        <v>56</v>
      </c>
      <c r="C26" s="19"/>
      <c r="D26" s="19"/>
      <c r="E26" s="19"/>
      <c r="F26" s="19"/>
      <c r="G26" s="19"/>
      <c r="H26" s="19">
        <v>29.529</v>
      </c>
      <c r="I26" s="19">
        <v>29.158999999999999</v>
      </c>
      <c r="J26" s="19">
        <v>46.76</v>
      </c>
      <c r="AC26" s="2" t="s">
        <v>52</v>
      </c>
      <c r="AD26" s="2">
        <f>NPV(AD24,T18:AP18)+Main!J5-Main!J6</f>
        <v>3284.8851952613541</v>
      </c>
    </row>
    <row r="27" spans="2:42" s="2" customFormat="1" x14ac:dyDescent="0.2">
      <c r="B27" s="2" t="s">
        <v>57</v>
      </c>
      <c r="C27" s="19"/>
      <c r="D27" s="19"/>
      <c r="E27" s="19"/>
      <c r="F27" s="19"/>
      <c r="G27" s="19"/>
      <c r="H27" s="19">
        <f>2.195+2.533</f>
        <v>4.7279999999999998</v>
      </c>
      <c r="I27" s="19">
        <f>2.846+2.533</f>
        <v>5.3789999999999996</v>
      </c>
      <c r="J27" s="19">
        <f>2.62+2.533</f>
        <v>5.1530000000000005</v>
      </c>
      <c r="AC27" s="2" t="s">
        <v>53</v>
      </c>
      <c r="AD27" s="1">
        <f>AD26/Main!J3</f>
        <v>85.594756218431542</v>
      </c>
    </row>
    <row r="28" spans="2:42" s="2" customFormat="1" x14ac:dyDescent="0.2">
      <c r="B28" s="2" t="s">
        <v>58</v>
      </c>
      <c r="C28" s="19"/>
      <c r="D28" s="19"/>
      <c r="E28" s="19"/>
      <c r="F28" s="19"/>
      <c r="G28" s="19"/>
      <c r="H28" s="19">
        <v>1.3120000000000001</v>
      </c>
      <c r="I28" s="19">
        <v>1.145</v>
      </c>
      <c r="J28" s="19">
        <v>1.2989999999999999</v>
      </c>
    </row>
    <row r="29" spans="2:42" s="2" customFormat="1" x14ac:dyDescent="0.2">
      <c r="B29" s="2" t="s">
        <v>59</v>
      </c>
      <c r="C29" s="19"/>
      <c r="D29" s="19"/>
      <c r="E29" s="19"/>
      <c r="F29" s="19"/>
      <c r="G29" s="19"/>
      <c r="H29" s="19">
        <v>5.9720000000000004</v>
      </c>
      <c r="I29" s="19">
        <v>7.0149999999999997</v>
      </c>
      <c r="J29" s="19">
        <v>14.65</v>
      </c>
    </row>
    <row r="30" spans="2:42" s="2" customFormat="1" x14ac:dyDescent="0.2">
      <c r="B30" s="2" t="s">
        <v>61</v>
      </c>
      <c r="C30" s="19"/>
      <c r="D30" s="19"/>
      <c r="E30" s="19"/>
      <c r="F30" s="19"/>
      <c r="G30" s="19"/>
      <c r="H30" s="19">
        <v>2.2410000000000001</v>
      </c>
      <c r="I30" s="19">
        <v>2.3929999999999998</v>
      </c>
      <c r="J30" s="19">
        <v>2.3140000000000001</v>
      </c>
    </row>
    <row r="31" spans="2:42" s="2" customFormat="1" x14ac:dyDescent="0.2">
      <c r="B31" s="2" t="s">
        <v>62</v>
      </c>
      <c r="C31" s="19"/>
      <c r="D31" s="19"/>
      <c r="E31" s="19"/>
      <c r="F31" s="19"/>
      <c r="G31" s="19"/>
      <c r="H31" s="19">
        <v>3.6669999999999998</v>
      </c>
      <c r="I31" s="19">
        <v>8.5670000000000002</v>
      </c>
      <c r="J31" s="19">
        <v>8.3260000000000005</v>
      </c>
    </row>
    <row r="32" spans="2:42" s="2" customFormat="1" x14ac:dyDescent="0.2">
      <c r="B32" s="2" t="s">
        <v>63</v>
      </c>
      <c r="C32" s="19"/>
      <c r="D32" s="19"/>
      <c r="E32" s="19"/>
      <c r="F32" s="19"/>
      <c r="G32" s="19"/>
      <c r="H32" s="19">
        <v>1.9690000000000001</v>
      </c>
      <c r="I32" s="19">
        <v>1.802</v>
      </c>
      <c r="J32" s="19">
        <v>0.55200000000000005</v>
      </c>
    </row>
    <row r="33" spans="2:10" s="2" customFormat="1" x14ac:dyDescent="0.2">
      <c r="B33" s="2" t="s">
        <v>64</v>
      </c>
      <c r="C33" s="19"/>
      <c r="D33" s="19"/>
      <c r="E33" s="19"/>
      <c r="F33" s="19"/>
      <c r="G33" s="19"/>
      <c r="H33" s="19">
        <v>0.84599999999999997</v>
      </c>
      <c r="I33" s="19">
        <v>0.88800000000000001</v>
      </c>
      <c r="J33" s="19">
        <v>0.999</v>
      </c>
    </row>
    <row r="34" spans="2:10" s="2" customFormat="1" x14ac:dyDescent="0.2">
      <c r="B34" s="2" t="s">
        <v>60</v>
      </c>
      <c r="C34" s="19"/>
      <c r="D34" s="19"/>
      <c r="E34" s="19"/>
      <c r="F34" s="19"/>
      <c r="G34" s="19"/>
      <c r="H34" s="19">
        <f>SUM(H25:H33)</f>
        <v>376.84399999999999</v>
      </c>
      <c r="I34" s="19">
        <f>SUM(I25:I33)</f>
        <v>376.29999999999995</v>
      </c>
      <c r="J34" s="19">
        <f>SUM(J25:J33)</f>
        <v>376.99100000000004</v>
      </c>
    </row>
    <row r="35" spans="2:10" x14ac:dyDescent="0.2">
      <c r="H35" s="19"/>
    </row>
    <row r="36" spans="2:10" s="2" customFormat="1" x14ac:dyDescent="0.2">
      <c r="B36" s="2" t="s">
        <v>65</v>
      </c>
      <c r="C36" s="19"/>
      <c r="D36" s="19"/>
      <c r="E36" s="19"/>
      <c r="F36" s="19"/>
      <c r="G36" s="19"/>
      <c r="H36" s="19">
        <v>43.526000000000003</v>
      </c>
      <c r="I36" s="19">
        <v>54.542999999999999</v>
      </c>
      <c r="J36" s="19">
        <v>64.789000000000001</v>
      </c>
    </row>
    <row r="37" spans="2:10" s="2" customFormat="1" x14ac:dyDescent="0.2">
      <c r="B37" s="2" t="s">
        <v>68</v>
      </c>
      <c r="C37" s="19"/>
      <c r="D37" s="19"/>
      <c r="E37" s="19"/>
      <c r="F37" s="19"/>
      <c r="G37" s="19"/>
      <c r="H37" s="19">
        <v>8.0449999999999999</v>
      </c>
      <c r="I37" s="19">
        <v>11.324999999999999</v>
      </c>
      <c r="J37" s="19">
        <v>15.823</v>
      </c>
    </row>
    <row r="38" spans="2:10" s="2" customFormat="1" x14ac:dyDescent="0.2">
      <c r="B38" s="2" t="s">
        <v>4</v>
      </c>
      <c r="C38" s="19"/>
      <c r="D38" s="19"/>
      <c r="E38" s="19"/>
      <c r="F38" s="19"/>
      <c r="G38" s="19"/>
      <c r="H38" s="19">
        <v>71.578000000000003</v>
      </c>
      <c r="I38" s="19">
        <v>71.707999999999998</v>
      </c>
      <c r="J38" s="19">
        <v>71.844999999999999</v>
      </c>
    </row>
    <row r="39" spans="2:10" s="2" customFormat="1" x14ac:dyDescent="0.2">
      <c r="B39" s="2" t="s">
        <v>69</v>
      </c>
      <c r="C39" s="19"/>
      <c r="D39" s="19"/>
      <c r="E39" s="19"/>
      <c r="F39" s="19"/>
      <c r="G39" s="19"/>
      <c r="H39" s="19">
        <v>1.4490000000000001</v>
      </c>
      <c r="I39" s="19">
        <v>1.24</v>
      </c>
      <c r="J39" s="19">
        <v>0</v>
      </c>
    </row>
    <row r="40" spans="2:10" s="2" customFormat="1" x14ac:dyDescent="0.2">
      <c r="B40" s="2" t="s">
        <v>66</v>
      </c>
      <c r="C40" s="19"/>
      <c r="D40" s="19"/>
      <c r="E40" s="19"/>
      <c r="F40" s="19"/>
      <c r="G40" s="19"/>
      <c r="H40" s="19">
        <v>252.24600000000001</v>
      </c>
      <c r="I40" s="19">
        <v>237.48400000000001</v>
      </c>
      <c r="J40" s="19">
        <v>224.53399999999999</v>
      </c>
    </row>
    <row r="41" spans="2:10" s="2" customFormat="1" x14ac:dyDescent="0.2">
      <c r="B41" s="2" t="s">
        <v>67</v>
      </c>
      <c r="C41" s="19"/>
      <c r="D41" s="19"/>
      <c r="E41" s="19"/>
      <c r="F41" s="19"/>
      <c r="G41" s="19"/>
      <c r="H41" s="19">
        <f>SUM(H36:H40)</f>
        <v>376.84399999999999</v>
      </c>
      <c r="I41" s="19">
        <f>SUM(I36:I40)</f>
        <v>376.3</v>
      </c>
      <c r="J41" s="19">
        <f>SUM(J36:J40)</f>
        <v>376.99099999999999</v>
      </c>
    </row>
  </sheetData>
  <hyperlinks>
    <hyperlink ref="A1" location="Main!A1" display="Main" xr:uid="{F4DA5126-D91D-4714-A92F-23221F7D35A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D65F-7F40-4576-99AF-8C5DC611D955}">
  <dimension ref="A1:C8"/>
  <sheetViews>
    <sheetView zoomScaleNormal="100" workbookViewId="0">
      <selection activeCell="D7" sqref="D7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26" t="s">
        <v>9</v>
      </c>
    </row>
    <row r="2" spans="1:3" x14ac:dyDescent="0.2">
      <c r="B2" t="s">
        <v>31</v>
      </c>
      <c r="C2" t="s">
        <v>32</v>
      </c>
    </row>
    <row r="3" spans="1:3" x14ac:dyDescent="0.2">
      <c r="B3" t="s">
        <v>41</v>
      </c>
      <c r="C3" t="s">
        <v>42</v>
      </c>
    </row>
    <row r="4" spans="1:3" x14ac:dyDescent="0.2">
      <c r="B4" t="s">
        <v>36</v>
      </c>
      <c r="C4" t="s">
        <v>70</v>
      </c>
    </row>
    <row r="5" spans="1:3" x14ac:dyDescent="0.2">
      <c r="B5" t="s">
        <v>43</v>
      </c>
      <c r="C5" s="15"/>
    </row>
    <row r="6" spans="1:3" x14ac:dyDescent="0.2">
      <c r="C6" s="15"/>
    </row>
    <row r="7" spans="1:3" x14ac:dyDescent="0.2">
      <c r="C7" s="15"/>
    </row>
    <row r="8" spans="1:3" x14ac:dyDescent="0.2">
      <c r="C8" s="15"/>
    </row>
  </sheetData>
  <hyperlinks>
    <hyperlink ref="A1" location="Main!A1" display="Main" xr:uid="{BE055B9E-CE42-42CA-9B41-B7CB6156D9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Xdemvy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2024-08-26T13:51:15Z</dcterms:created>
  <dcterms:modified xsi:type="dcterms:W3CDTF">2025-10-16T09:30:10Z</dcterms:modified>
</cp:coreProperties>
</file>