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5194D914-1A9A-4502-8C4A-402529BCF1CD}" xr6:coauthVersionLast="47" xr6:coauthVersionMax="47" xr10:uidLastSave="{00000000-0000-0000-0000-000000000000}"/>
  <bookViews>
    <workbookView xWindow="2805" yWindow="2805" windowWidth="18075" windowHeight="16020" activeTab="1" xr2:uid="{BF46CBFA-FDE7-4605-A4C3-0F424DE7783A}"/>
  </bookViews>
  <sheets>
    <sheet name="Main" sheetId="1" r:id="rId1"/>
    <sheet name="Reven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" i="2" l="1"/>
  <c r="Y22" i="2"/>
  <c r="X22" i="2"/>
  <c r="W22" i="2"/>
  <c r="V22" i="2"/>
  <c r="U22" i="2"/>
  <c r="Z18" i="2"/>
  <c r="Y18" i="2"/>
  <c r="X18" i="2"/>
  <c r="W18" i="2"/>
  <c r="V18" i="2"/>
  <c r="U18" i="2"/>
  <c r="V19" i="2"/>
  <c r="W19" i="2" s="1"/>
  <c r="X19" i="2" s="1"/>
  <c r="Y19" i="2" s="1"/>
  <c r="Z19" i="2" s="1"/>
  <c r="U19" i="2"/>
  <c r="Z16" i="2"/>
  <c r="Y16" i="2"/>
  <c r="X16" i="2"/>
  <c r="W16" i="2"/>
  <c r="V16" i="2"/>
  <c r="U16" i="2"/>
  <c r="U17" i="2" s="1"/>
  <c r="Z17" i="2"/>
  <c r="Y17" i="2"/>
  <c r="X17" i="2"/>
  <c r="W17" i="2"/>
  <c r="V17" i="2"/>
  <c r="Z15" i="2"/>
  <c r="Y15" i="2"/>
  <c r="X15" i="2"/>
  <c r="W15" i="2"/>
  <c r="V15" i="2"/>
  <c r="U15" i="2"/>
  <c r="Z10" i="2"/>
  <c r="Y10" i="2"/>
  <c r="Y12" i="2" s="1"/>
  <c r="Y13" i="2" s="1"/>
  <c r="X10" i="2"/>
  <c r="W10" i="2"/>
  <c r="V10" i="2"/>
  <c r="U10" i="2"/>
  <c r="U12" i="2" s="1"/>
  <c r="U13" i="2" s="1"/>
  <c r="Z11" i="2"/>
  <c r="Y11" i="2"/>
  <c r="X11" i="2"/>
  <c r="W11" i="2"/>
  <c r="V11" i="2"/>
  <c r="V12" i="2" s="1"/>
  <c r="V13" i="2" s="1"/>
  <c r="U11" i="2"/>
  <c r="Z9" i="2"/>
  <c r="Y9" i="2"/>
  <c r="X9" i="2"/>
  <c r="W9" i="2"/>
  <c r="V9" i="2"/>
  <c r="U9" i="2"/>
  <c r="Z12" i="2"/>
  <c r="Z13" i="2" s="1"/>
  <c r="X12" i="2"/>
  <c r="X13" i="2" s="1"/>
  <c r="Z7" i="2"/>
  <c r="Y7" i="2"/>
  <c r="X7" i="2"/>
  <c r="W7" i="2"/>
  <c r="V7" i="2"/>
  <c r="U7" i="2"/>
  <c r="Z8" i="2"/>
  <c r="Y8" i="2"/>
  <c r="X8" i="2"/>
  <c r="W8" i="2"/>
  <c r="V8" i="2"/>
  <c r="U8" i="2"/>
  <c r="Z21" i="2"/>
  <c r="Y21" i="2"/>
  <c r="X21" i="2"/>
  <c r="W21" i="2"/>
  <c r="V21" i="2"/>
  <c r="U21" i="2"/>
  <c r="T21" i="2"/>
  <c r="T22" i="2"/>
  <c r="S22" i="2"/>
  <c r="R22" i="2"/>
  <c r="Q22" i="2"/>
  <c r="Z6" i="2"/>
  <c r="Y6" i="2"/>
  <c r="X6" i="2"/>
  <c r="W6" i="2"/>
  <c r="V6" i="2"/>
  <c r="U6" i="2"/>
  <c r="T16" i="2"/>
  <c r="T19" i="2"/>
  <c r="T17" i="2"/>
  <c r="T18" i="2" s="1"/>
  <c r="T15" i="2"/>
  <c r="T14" i="2"/>
  <c r="T12" i="2"/>
  <c r="T13" i="2" s="1"/>
  <c r="T11" i="2"/>
  <c r="T10" i="2"/>
  <c r="T9" i="2"/>
  <c r="N19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Q27" i="2"/>
  <c r="R27" i="2"/>
  <c r="S27" i="2"/>
  <c r="J19" i="2"/>
  <c r="J16" i="2"/>
  <c r="J11" i="2"/>
  <c r="N11" i="2" s="1"/>
  <c r="J10" i="2"/>
  <c r="N10" i="2" s="1"/>
  <c r="J7" i="2"/>
  <c r="J6" i="2"/>
  <c r="R21" i="2"/>
  <c r="S21" i="2"/>
  <c r="Q14" i="2"/>
  <c r="R14" i="2"/>
  <c r="S14" i="2"/>
  <c r="Q9" i="2"/>
  <c r="Q12" i="2" s="1"/>
  <c r="R9" i="2"/>
  <c r="R12" i="2" s="1"/>
  <c r="S9" i="2"/>
  <c r="S12" i="2" s="1"/>
  <c r="S13" i="2" s="1"/>
  <c r="S8" i="2"/>
  <c r="R8" i="2"/>
  <c r="Q8" i="2"/>
  <c r="G14" i="2"/>
  <c r="G9" i="2"/>
  <c r="G12" i="2" s="1"/>
  <c r="G27" i="2"/>
  <c r="H24" i="2"/>
  <c r="I24" i="2" s="1"/>
  <c r="J24" i="2" s="1"/>
  <c r="G8" i="2"/>
  <c r="G22" i="2" s="1"/>
  <c r="K14" i="2"/>
  <c r="K9" i="2"/>
  <c r="K27" i="2"/>
  <c r="K21" i="2"/>
  <c r="K12" i="2"/>
  <c r="K8" i="2"/>
  <c r="K22" i="2" s="1"/>
  <c r="L26" i="2"/>
  <c r="M26" i="2" s="1"/>
  <c r="H26" i="2"/>
  <c r="I26" i="2" s="1"/>
  <c r="J26" i="2" s="1"/>
  <c r="H25" i="2"/>
  <c r="L25" i="2"/>
  <c r="M25" i="2" s="1"/>
  <c r="L24" i="2"/>
  <c r="H14" i="2"/>
  <c r="H9" i="2"/>
  <c r="H12" i="2" s="1"/>
  <c r="H8" i="2"/>
  <c r="H22" i="2" s="1"/>
  <c r="L21" i="2"/>
  <c r="L14" i="2"/>
  <c r="L9" i="2"/>
  <c r="L12" i="2" s="1"/>
  <c r="L8" i="2"/>
  <c r="L22" i="2" s="1"/>
  <c r="M21" i="2"/>
  <c r="I14" i="2"/>
  <c r="M14" i="2"/>
  <c r="N14" i="2" s="1"/>
  <c r="I9" i="2"/>
  <c r="I12" i="2" s="1"/>
  <c r="M9" i="2"/>
  <c r="M12" i="2" s="1"/>
  <c r="M8" i="2"/>
  <c r="M13" i="2" s="1"/>
  <c r="I8" i="2"/>
  <c r="I22" i="2" s="1"/>
  <c r="K6" i="1"/>
  <c r="K7" i="1"/>
  <c r="K4" i="1"/>
  <c r="W12" i="2" l="1"/>
  <c r="W13" i="2" s="1"/>
  <c r="R13" i="2"/>
  <c r="J8" i="2"/>
  <c r="J22" i="2" s="1"/>
  <c r="M22" i="2"/>
  <c r="S15" i="2"/>
  <c r="S17" i="2" s="1"/>
  <c r="S18" i="2" s="1"/>
  <c r="R15" i="2"/>
  <c r="R17" i="2" s="1"/>
  <c r="R18" i="2" s="1"/>
  <c r="Q13" i="2"/>
  <c r="Q15" i="2" s="1"/>
  <c r="Q17" i="2" s="1"/>
  <c r="Q18" i="2" s="1"/>
  <c r="J14" i="2"/>
  <c r="I13" i="2"/>
  <c r="M15" i="2"/>
  <c r="M17" i="2" s="1"/>
  <c r="M18" i="2" s="1"/>
  <c r="N6" i="2"/>
  <c r="J9" i="2"/>
  <c r="G13" i="2"/>
  <c r="G15" i="2" s="1"/>
  <c r="G17" i="2" s="1"/>
  <c r="G18" i="2" s="1"/>
  <c r="K13" i="2"/>
  <c r="K15" i="2" s="1"/>
  <c r="K17" i="2" s="1"/>
  <c r="K18" i="2" s="1"/>
  <c r="L27" i="2"/>
  <c r="H27" i="2"/>
  <c r="I25" i="2"/>
  <c r="H13" i="2"/>
  <c r="H15" i="2" s="1"/>
  <c r="H17" i="2" s="1"/>
  <c r="H18" i="2" s="1"/>
  <c r="L13" i="2"/>
  <c r="L15" i="2" s="1"/>
  <c r="L17" i="2" s="1"/>
  <c r="L18" i="2" s="1"/>
  <c r="M24" i="2"/>
  <c r="M27" i="2" s="1"/>
  <c r="I15" i="2"/>
  <c r="I17" i="2" s="1"/>
  <c r="I18" i="2" s="1"/>
  <c r="N8" i="2" l="1"/>
  <c r="T6" i="2"/>
  <c r="N21" i="2"/>
  <c r="J12" i="2"/>
  <c r="J13" i="2" s="1"/>
  <c r="J15" i="2" s="1"/>
  <c r="J17" i="2" s="1"/>
  <c r="J18" i="2" s="1"/>
  <c r="N9" i="2"/>
  <c r="N12" i="2" s="1"/>
  <c r="I27" i="2"/>
  <c r="J25" i="2"/>
  <c r="J27" i="2" s="1"/>
  <c r="N22" i="2" l="1"/>
  <c r="N13" i="2"/>
  <c r="N15" i="2" s="1"/>
  <c r="N7" i="2"/>
  <c r="T7" i="2" s="1"/>
  <c r="T8" i="2" s="1"/>
  <c r="N16" i="2" l="1"/>
  <c r="N17" i="2" s="1"/>
  <c r="N18" i="2" s="1"/>
</calcChain>
</file>

<file path=xl/sharedStrings.xml><?xml version="1.0" encoding="utf-8"?>
<sst xmlns="http://schemas.openxmlformats.org/spreadsheetml/2006/main" count="48" uniqueCount="42">
  <si>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</si>
  <si>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</si>
  <si>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</si>
  <si>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</si>
  <si>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</si>
  <si>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</si>
  <si>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</si>
  <si>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</si>
  <si>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</si>
  <si>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</si>
  <si>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</si>
  <si>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</si>
  <si>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</si>
  <si>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</si>
  <si>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</si>
  <si>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</si>
  <si>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</si>
  <si>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</si>
  <si>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</si>
  <si>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</si>
  <si>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</si>
  <si>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</si>
  <si>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</si>
  <si>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</si>
  <si>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</si>
  <si>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</si>
  <si>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</si>
  <si>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</si>
  <si>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</si>
  <si>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Taxes</t>
  </si>
  <si>
    <t>Net Income</t>
  </si>
  <si>
    <t>Pretax Income</t>
  </si>
  <si>
    <t>Interest Income</t>
  </si>
  <si>
    <t>EPS</t>
  </si>
  <si>
    <t>CFFO</t>
  </si>
  <si>
    <t>FCF</t>
  </si>
  <si>
    <t>CapEx</t>
  </si>
  <si>
    <t>Software</t>
  </si>
  <si>
    <t>Revenue y/y</t>
  </si>
  <si>
    <t>Gross Margin</t>
  </si>
  <si>
    <t>BetterHelp</t>
  </si>
  <si>
    <t>TelaDoc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</si>
</sst>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136349B-0C68-4BAF-85F2-0DFF5B3EEB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20052</xdr:colOff>
      <xdr:row>0</xdr:row>
      <xdr:rowOff>15039</xdr:rowOff>
    </xdr:from>
    <xdr:to>
      <xdr:col>13</xdr:col>
      <xdr:colOff>20052</xdr:colOff>
      <xdr:row>36</xdr:row>
      <xdr:rowOff>30079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0291569-A1B2-1F1A-70E9-0E0B5720E2B6}"/>
            </a:ext>
          </a:extLst>
        </xdr:cNvPr>
        <xdr:cNvCxnSpPr/>
      </xdr:nvCxnSpPr>
      <xdr:spPr>
        <a:xfrm>
          <a:off x="8291763" y="15039"/>
          <a:ext cx="0" cy="49880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22873</xdr:colOff>
      <xdr:row>0</xdr:row>
      <xdr:rowOff>0</xdr:rowOff>
    </xdr:from>
    <xdr:to>
      <xdr:col>19</xdr:col>
      <xdr:colOff>22873</xdr:colOff>
      <xdr:row>36</xdr:row>
      <xdr:rowOff>15040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5F80F0-FD46-449E-A41D-1B8FD1D9D9B0}"/>
            </a:ext>
          </a:extLst>
        </xdr:cNvPr>
        <xdr:cNvCxnSpPr/>
      </xdr:nvCxnSpPr>
      <xdr:spPr>
        <a:xfrm>
          <a:off x="11935076" y="0"/>
          <a:ext cx="0" cy="51585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AE3A-4F76-48FE-ACFB-C17B53F27BDC}">
  <dimension ref="J2:L11"/>
  <sheetViews>
    <sheetView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 s="1">
        <v>11</v>
      </c>
    </row>
    <row r="3" spans="10:12" x14ac:dyDescent="0.2">
      <c r="J3" t="s">
        <v>1</v>
      </c>
      <c r="K3" s="2">
        <v>172.16672299999999</v>
      </c>
      <c r="L3" s="3" t="s">
        <v>6</v>
      </c>
    </row>
    <row r="4" spans="10:12" x14ac:dyDescent="0.2">
      <c r="J4" t="s">
        <v>2</v>
      </c>
      <c r="K4" s="2">
        <f>+K2*K3</f>
        <v>1893.8339529999998</v>
      </c>
    </row>
    <row r="5" spans="10:12" x14ac:dyDescent="0.2">
      <c r="J5" t="s">
        <v>3</v>
      </c>
      <c r="K5" s="2">
        <v>1243.866</v>
      </c>
      <c r="L5" s="3" t="s">
        <v>6</v>
      </c>
    </row>
    <row r="6" spans="10:12" x14ac:dyDescent="0.2">
      <c r="J6" t="s">
        <v>4</v>
      </c>
      <c r="K6" s="2">
        <f>550.723+990.551</f>
        <v>1541.2739999999999</v>
      </c>
      <c r="L6" s="3" t="s">
        <v>6</v>
      </c>
    </row>
    <row r="7" spans="10:12" x14ac:dyDescent="0.2">
      <c r="J7" t="s">
        <v>5</v>
      </c>
      <c r="K7" s="2">
        <f>+K4-K5+K6</f>
        <v>2191.2419529999997</v>
      </c>
    </row>
    <row r="10" spans="10:12" x14ac:dyDescent="0.2">
      <c r="J10" t="s">
        <v>7</v>
      </c>
      <c r="K10" s="2">
        <v>17726.127</v>
      </c>
      <c r="L10" s="3" t="s">
        <v>6</v>
      </c>
    </row>
    <row r="11" spans="10:12" x14ac:dyDescent="0.2">
      <c r="J11" t="s">
        <v>8</v>
      </c>
      <c r="K11" s="2">
        <v>16181.491</v>
      </c>
      <c r="L1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6B84-4DB5-4C44-82AD-DA74A2B28D71}">
  <dimension ref="A1:AE27"/>
  <sheetViews>
    <sheetView tabSelected="1" zoomScaleNormal="10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S27" sqref="S27"/>
    </sheetView>
  </sheetViews>
  <sheetFormatPr defaultRowHeight="12.75" x14ac:dyDescent="0.2"/>
  <cols>
    <col min="1" max="1" width="5" bestFit="1" customWidth="1"/>
    <col min="2" max="2" width="18.85546875" customWidth="1"/>
    <col min="3" max="14" width="9.140625" style="3"/>
  </cols>
  <sheetData>
    <row r="1" spans="1:31" x14ac:dyDescent="0.2">
      <c r="A1" s="4" t="s">
        <v>9</v>
      </c>
    </row>
    <row r="2" spans="1:31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Q2">
        <v>2021</v>
      </c>
      <c r="R2">
        <v>2022</v>
      </c>
      <c r="S2">
        <v>2023</v>
      </c>
      <c r="T2">
        <v>2024</v>
      </c>
      <c r="U2">
        <f t="shared" ref="U2:AE2" si="0">+T2+1</f>
        <v>2025</v>
      </c>
      <c r="V2">
        <f t="shared" si="0"/>
        <v>2026</v>
      </c>
      <c r="W2">
        <f t="shared" si="0"/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</row>
    <row r="3" spans="1:31" s="2" customFormat="1" x14ac:dyDescent="0.2">
      <c r="B3" s="2" t="s">
        <v>41</v>
      </c>
      <c r="C3" s="5"/>
      <c r="D3" s="5"/>
      <c r="E3" s="5"/>
      <c r="F3" s="5"/>
      <c r="G3" s="5"/>
      <c r="H3" s="5"/>
      <c r="I3" s="5">
        <v>374.416</v>
      </c>
      <c r="J3" s="5"/>
      <c r="K3" s="5"/>
      <c r="L3" s="5"/>
      <c r="M3" s="5">
        <v>383.666</v>
      </c>
      <c r="N3" s="5"/>
    </row>
    <row r="4" spans="1:31" s="2" customFormat="1" x14ac:dyDescent="0.2">
      <c r="B4" s="2" t="s">
        <v>40</v>
      </c>
      <c r="C4" s="5"/>
      <c r="D4" s="5"/>
      <c r="E4" s="5"/>
      <c r="F4" s="5"/>
      <c r="G4" s="5"/>
      <c r="H4" s="5"/>
      <c r="I4" s="5">
        <v>285.822</v>
      </c>
      <c r="J4" s="5"/>
      <c r="K4" s="5"/>
      <c r="L4" s="5"/>
      <c r="M4" s="5">
        <v>256.84199999999998</v>
      </c>
      <c r="N4" s="5"/>
    </row>
    <row r="6" spans="1:31" s="6" customFormat="1" x14ac:dyDescent="0.2">
      <c r="B6" s="6" t="s">
        <v>10</v>
      </c>
      <c r="C6" s="7"/>
      <c r="D6" s="7"/>
      <c r="E6" s="7"/>
      <c r="F6" s="7"/>
      <c r="G6" s="7">
        <v>629.24400000000003</v>
      </c>
      <c r="H6" s="7">
        <v>652.40599999999995</v>
      </c>
      <c r="I6" s="7">
        <v>660.23800000000006</v>
      </c>
      <c r="J6" s="7">
        <f>+S6-I6-H6-G6</f>
        <v>660.52699999999993</v>
      </c>
      <c r="K6" s="7">
        <v>646.13099999999997</v>
      </c>
      <c r="L6" s="7">
        <v>642.44399999999996</v>
      </c>
      <c r="M6" s="7">
        <v>640.50800000000004</v>
      </c>
      <c r="N6" s="7">
        <f>+J6*1.01</f>
        <v>667.13226999999995</v>
      </c>
      <c r="Q6" s="6">
        <v>2032.7070000000001</v>
      </c>
      <c r="R6" s="6">
        <v>2406.84</v>
      </c>
      <c r="S6" s="6">
        <v>2602.415</v>
      </c>
      <c r="T6" s="6">
        <f>SUM(K6:N6)</f>
        <v>2596.2152699999997</v>
      </c>
      <c r="U6" s="6">
        <f t="shared" ref="U6:Z6" si="1">+T6*1.01</f>
        <v>2622.1774226999996</v>
      </c>
      <c r="V6" s="6">
        <f t="shared" si="1"/>
        <v>2648.3991969269996</v>
      </c>
      <c r="W6" s="6">
        <f t="shared" si="1"/>
        <v>2674.8831888962695</v>
      </c>
      <c r="X6" s="6">
        <f t="shared" si="1"/>
        <v>2701.6320207852323</v>
      </c>
      <c r="Y6" s="6">
        <f t="shared" si="1"/>
        <v>2728.6483409930847</v>
      </c>
      <c r="Z6" s="6">
        <f t="shared" si="1"/>
        <v>2755.9348244030157</v>
      </c>
    </row>
    <row r="7" spans="1:31" s="2" customFormat="1" x14ac:dyDescent="0.2">
      <c r="B7" s="2" t="s">
        <v>22</v>
      </c>
      <c r="C7" s="5"/>
      <c r="D7" s="5"/>
      <c r="E7" s="5"/>
      <c r="F7" s="5"/>
      <c r="G7" s="5">
        <v>190.107</v>
      </c>
      <c r="H7" s="5">
        <v>190.54</v>
      </c>
      <c r="I7" s="5">
        <v>185.96</v>
      </c>
      <c r="J7" s="5">
        <f>+S7-I7-H7-G7</f>
        <v>193.42399999999995</v>
      </c>
      <c r="K7" s="5">
        <v>194.53800000000001</v>
      </c>
      <c r="L7" s="5">
        <v>188.059</v>
      </c>
      <c r="M7" s="5">
        <v>179.745</v>
      </c>
      <c r="N7" s="5">
        <f>+N6-N8</f>
        <v>193.46835830000003</v>
      </c>
      <c r="Q7" s="2">
        <v>650.25800000000004</v>
      </c>
      <c r="R7" s="2">
        <v>743.87</v>
      </c>
      <c r="S7" s="2">
        <v>760.03099999999995</v>
      </c>
      <c r="T7" s="2">
        <f>SUM(K7:N7)</f>
        <v>755.81035829999996</v>
      </c>
      <c r="U7" s="2">
        <f t="shared" ref="U7:Z7" si="2">+U6-U8</f>
        <v>786.65322680999998</v>
      </c>
      <c r="V7" s="2">
        <f t="shared" si="2"/>
        <v>794.51975907809992</v>
      </c>
      <c r="W7" s="2">
        <f t="shared" si="2"/>
        <v>802.46495666888109</v>
      </c>
      <c r="X7" s="2">
        <f t="shared" si="2"/>
        <v>810.48960623556991</v>
      </c>
      <c r="Y7" s="2">
        <f t="shared" si="2"/>
        <v>818.5945022979256</v>
      </c>
      <c r="Z7" s="2">
        <f t="shared" si="2"/>
        <v>826.78044732090484</v>
      </c>
    </row>
    <row r="8" spans="1:31" s="2" customFormat="1" x14ac:dyDescent="0.2">
      <c r="B8" s="2" t="s">
        <v>23</v>
      </c>
      <c r="C8" s="5"/>
      <c r="D8" s="5"/>
      <c r="E8" s="5"/>
      <c r="F8" s="5"/>
      <c r="G8" s="5">
        <f t="shared" ref="G8:M8" si="3">+G6-G7</f>
        <v>439.13700000000006</v>
      </c>
      <c r="H8" s="5">
        <f t="shared" si="3"/>
        <v>461.86599999999999</v>
      </c>
      <c r="I8" s="5">
        <f t="shared" si="3"/>
        <v>474.27800000000002</v>
      </c>
      <c r="J8" s="5">
        <f t="shared" si="3"/>
        <v>467.10299999999995</v>
      </c>
      <c r="K8" s="5">
        <f t="shared" si="3"/>
        <v>451.59299999999996</v>
      </c>
      <c r="L8" s="5">
        <f t="shared" si="3"/>
        <v>454.38499999999999</v>
      </c>
      <c r="M8" s="5">
        <f t="shared" si="3"/>
        <v>460.76300000000003</v>
      </c>
      <c r="N8" s="5">
        <f>+N6*0.71</f>
        <v>473.66391169999991</v>
      </c>
      <c r="Q8" s="2">
        <f>+Q6-Q7</f>
        <v>1382.4490000000001</v>
      </c>
      <c r="R8" s="2">
        <f>+R6-R7</f>
        <v>1662.9700000000003</v>
      </c>
      <c r="S8" s="2">
        <f>+S6-S7</f>
        <v>1842.384</v>
      </c>
      <c r="T8" s="2">
        <f>+T6-T7</f>
        <v>1840.4049116999997</v>
      </c>
      <c r="U8" s="2">
        <f t="shared" ref="U8:Z8" si="4">+U6*0.7</f>
        <v>1835.5241958899996</v>
      </c>
      <c r="V8" s="2">
        <f t="shared" si="4"/>
        <v>1853.8794378488997</v>
      </c>
      <c r="W8" s="2">
        <f t="shared" si="4"/>
        <v>1872.4182322273884</v>
      </c>
      <c r="X8" s="2">
        <f t="shared" si="4"/>
        <v>1891.1424145496624</v>
      </c>
      <c r="Y8" s="2">
        <f t="shared" si="4"/>
        <v>1910.0538386951591</v>
      </c>
      <c r="Z8" s="2">
        <f t="shared" si="4"/>
        <v>1929.1543770821108</v>
      </c>
    </row>
    <row r="9" spans="1:31" s="2" customFormat="1" x14ac:dyDescent="0.2">
      <c r="B9" s="2" t="s">
        <v>24</v>
      </c>
      <c r="C9" s="5"/>
      <c r="D9" s="5"/>
      <c r="E9" s="5"/>
      <c r="F9" s="5"/>
      <c r="G9" s="5">
        <f>176.79+54.49</f>
        <v>231.28</v>
      </c>
      <c r="H9" s="5">
        <f>178.756+53.53</f>
        <v>232.286</v>
      </c>
      <c r="I9" s="5">
        <f>186.152+52.309</f>
        <v>238.46099999999998</v>
      </c>
      <c r="J9" s="5">
        <f>+S9-I9-H9-G9</f>
        <v>200.607</v>
      </c>
      <c r="K9" s="5">
        <f>183.329+54.364</f>
        <v>237.69300000000001</v>
      </c>
      <c r="L9" s="5">
        <f>170.27+50.438</f>
        <v>220.70800000000003</v>
      </c>
      <c r="M9" s="5">
        <f>177.462+47.465</f>
        <v>224.92699999999999</v>
      </c>
      <c r="N9" s="5">
        <f t="shared" ref="N9:N10" si="5">+J9</f>
        <v>200.607</v>
      </c>
      <c r="Q9" s="2">
        <f>416.726+250.581</f>
        <v>667.30700000000002</v>
      </c>
      <c r="R9" s="2">
        <f>623.536+227.172</f>
        <v>850.70799999999997</v>
      </c>
      <c r="S9" s="2">
        <f>688.854+213.78</f>
        <v>902.63400000000001</v>
      </c>
      <c r="T9" s="2">
        <f t="shared" ref="T9:T11" si="6">SUM(K9:N9)</f>
        <v>883.93500000000006</v>
      </c>
      <c r="U9" s="2">
        <f t="shared" ref="U9:Z11" si="7">+T9*0.95</f>
        <v>839.73824999999999</v>
      </c>
      <c r="V9" s="2">
        <f t="shared" si="7"/>
        <v>797.75133749999998</v>
      </c>
      <c r="W9" s="2">
        <f t="shared" si="7"/>
        <v>757.86377062499992</v>
      </c>
      <c r="X9" s="2">
        <f t="shared" si="7"/>
        <v>719.97058209374984</v>
      </c>
      <c r="Y9" s="2">
        <f t="shared" si="7"/>
        <v>683.97205298906226</v>
      </c>
      <c r="Z9" s="2">
        <f t="shared" si="7"/>
        <v>649.7734503396091</v>
      </c>
    </row>
    <row r="10" spans="1:31" s="2" customFormat="1" x14ac:dyDescent="0.2">
      <c r="B10" s="2" t="s">
        <v>25</v>
      </c>
      <c r="C10" s="5"/>
      <c r="D10" s="5"/>
      <c r="E10" s="5"/>
      <c r="F10" s="5"/>
      <c r="G10" s="5">
        <v>86.984999999999999</v>
      </c>
      <c r="H10" s="5">
        <v>87.308999999999997</v>
      </c>
      <c r="I10" s="5">
        <v>84.289000000000001</v>
      </c>
      <c r="J10" s="5">
        <f>+S10-I10-H10-G10</f>
        <v>89.938000000000031</v>
      </c>
      <c r="K10" s="5">
        <v>81.388000000000005</v>
      </c>
      <c r="L10" s="5">
        <v>76.751000000000005</v>
      </c>
      <c r="M10" s="5">
        <v>72.382999999999996</v>
      </c>
      <c r="N10" s="5">
        <f t="shared" si="5"/>
        <v>89.938000000000031</v>
      </c>
      <c r="Q10" s="2">
        <v>311.88400000000001</v>
      </c>
      <c r="R10" s="2">
        <v>333.62900000000002</v>
      </c>
      <c r="S10" s="2">
        <v>348.52100000000002</v>
      </c>
      <c r="T10" s="2">
        <f t="shared" si="6"/>
        <v>320.46000000000004</v>
      </c>
      <c r="U10" s="2">
        <f t="shared" si="7"/>
        <v>304.43700000000001</v>
      </c>
      <c r="V10" s="2">
        <f t="shared" si="7"/>
        <v>289.21514999999999</v>
      </c>
      <c r="W10" s="2">
        <f t="shared" si="7"/>
        <v>274.75439249999999</v>
      </c>
      <c r="X10" s="2">
        <f t="shared" si="7"/>
        <v>261.01667287499998</v>
      </c>
      <c r="Y10" s="2">
        <f t="shared" si="7"/>
        <v>247.96583923124996</v>
      </c>
      <c r="Z10" s="2">
        <f t="shared" si="7"/>
        <v>235.56754726968745</v>
      </c>
    </row>
    <row r="11" spans="1:31" s="2" customFormat="1" x14ac:dyDescent="0.2">
      <c r="B11" s="2" t="s">
        <v>26</v>
      </c>
      <c r="C11" s="5"/>
      <c r="D11" s="5"/>
      <c r="E11" s="5"/>
      <c r="F11" s="5"/>
      <c r="G11" s="5">
        <v>114.145</v>
      </c>
      <c r="H11" s="5">
        <v>125.84099999999999</v>
      </c>
      <c r="I11" s="5">
        <v>115.71599999999999</v>
      </c>
      <c r="J11" s="5">
        <f>+S11-I11-H11-G11</f>
        <v>108.95699999999998</v>
      </c>
      <c r="K11" s="5">
        <v>111.967</v>
      </c>
      <c r="L11" s="5">
        <v>109.55200000000001</v>
      </c>
      <c r="M11" s="5">
        <v>114.245</v>
      </c>
      <c r="N11" s="5">
        <f>+J11</f>
        <v>108.95699999999998</v>
      </c>
      <c r="Q11" s="2">
        <v>438.00700000000001</v>
      </c>
      <c r="R11" s="2">
        <v>449.85500000000002</v>
      </c>
      <c r="S11" s="2">
        <v>464.65899999999999</v>
      </c>
      <c r="T11" s="2">
        <f t="shared" si="6"/>
        <v>444.721</v>
      </c>
      <c r="U11" s="2">
        <f t="shared" si="7"/>
        <v>422.48494999999997</v>
      </c>
      <c r="V11" s="2">
        <f t="shared" si="7"/>
        <v>401.36070249999995</v>
      </c>
      <c r="W11" s="2">
        <f t="shared" si="7"/>
        <v>381.29266737499995</v>
      </c>
      <c r="X11" s="2">
        <f t="shared" si="7"/>
        <v>362.22803400624991</v>
      </c>
      <c r="Y11" s="2">
        <f t="shared" si="7"/>
        <v>344.1166323059374</v>
      </c>
      <c r="Z11" s="2">
        <f t="shared" si="7"/>
        <v>326.91080069064054</v>
      </c>
    </row>
    <row r="12" spans="1:31" x14ac:dyDescent="0.2">
      <c r="B12" s="2" t="s">
        <v>27</v>
      </c>
      <c r="G12" s="5">
        <f t="shared" ref="G12:N12" si="8">+G11+G10+G9</f>
        <v>432.40999999999997</v>
      </c>
      <c r="H12" s="5">
        <f t="shared" si="8"/>
        <v>445.43599999999998</v>
      </c>
      <c r="I12" s="5">
        <f t="shared" si="8"/>
        <v>438.46600000000001</v>
      </c>
      <c r="J12" s="5">
        <f t="shared" si="8"/>
        <v>399.50200000000001</v>
      </c>
      <c r="K12" s="5">
        <f t="shared" si="8"/>
        <v>431.048</v>
      </c>
      <c r="L12" s="5">
        <f t="shared" si="8"/>
        <v>407.01100000000002</v>
      </c>
      <c r="M12" s="5">
        <f t="shared" si="8"/>
        <v>411.55499999999995</v>
      </c>
      <c r="N12" s="5">
        <f t="shared" si="8"/>
        <v>399.50200000000001</v>
      </c>
      <c r="Q12" s="5">
        <f>+Q11+Q10+Q9</f>
        <v>1417.1980000000001</v>
      </c>
      <c r="R12" s="5">
        <f>+R11+R10+R9</f>
        <v>1634.192</v>
      </c>
      <c r="S12" s="5">
        <f>+S11+S10+S9</f>
        <v>1715.8140000000001</v>
      </c>
      <c r="T12" s="5">
        <f>+T11+T10+T9</f>
        <v>1649.116</v>
      </c>
      <c r="U12" s="5">
        <f>+U11+U10+U9</f>
        <v>1566.6601999999998</v>
      </c>
      <c r="V12" s="5">
        <f t="shared" ref="V12:Z12" si="9">+V11+V10+V9</f>
        <v>1488.32719</v>
      </c>
      <c r="W12" s="5">
        <f t="shared" si="9"/>
        <v>1413.9108305</v>
      </c>
      <c r="X12" s="5">
        <f t="shared" si="9"/>
        <v>1343.2152889749996</v>
      </c>
      <c r="Y12" s="5">
        <f t="shared" si="9"/>
        <v>1276.0545245262497</v>
      </c>
      <c r="Z12" s="5">
        <f t="shared" si="9"/>
        <v>1212.251798299937</v>
      </c>
    </row>
    <row r="13" spans="1:31" x14ac:dyDescent="0.2">
      <c r="B13" s="2" t="s">
        <v>28</v>
      </c>
      <c r="G13" s="5">
        <f t="shared" ref="G13:N13" si="10">+G8-G12</f>
        <v>6.7270000000000891</v>
      </c>
      <c r="H13" s="5">
        <f t="shared" si="10"/>
        <v>16.430000000000007</v>
      </c>
      <c r="I13" s="5">
        <f t="shared" si="10"/>
        <v>35.812000000000012</v>
      </c>
      <c r="J13" s="5">
        <f t="shared" si="10"/>
        <v>67.600999999999942</v>
      </c>
      <c r="K13" s="5">
        <f t="shared" si="10"/>
        <v>20.544999999999959</v>
      </c>
      <c r="L13" s="5">
        <f t="shared" si="10"/>
        <v>47.373999999999967</v>
      </c>
      <c r="M13" s="5">
        <f t="shared" si="10"/>
        <v>49.208000000000084</v>
      </c>
      <c r="N13" s="5">
        <f t="shared" si="10"/>
        <v>74.161911699999905</v>
      </c>
      <c r="Q13" s="5">
        <f>+Q8-Q12</f>
        <v>-34.749000000000024</v>
      </c>
      <c r="R13" s="5">
        <f>+R8-R12</f>
        <v>28.778000000000247</v>
      </c>
      <c r="S13" s="5">
        <f>+S8-S12</f>
        <v>126.56999999999994</v>
      </c>
      <c r="T13" s="5">
        <f>+T8-T12</f>
        <v>191.28891169999974</v>
      </c>
      <c r="U13" s="5">
        <f>+U8-U12</f>
        <v>268.86399588999984</v>
      </c>
      <c r="V13" s="5">
        <f t="shared" ref="V13:Z13" si="11">+V8-V12</f>
        <v>365.5522478488997</v>
      </c>
      <c r="W13" s="5">
        <f t="shared" si="11"/>
        <v>458.50740172738847</v>
      </c>
      <c r="X13" s="5">
        <f t="shared" si="11"/>
        <v>547.9271255746628</v>
      </c>
      <c r="Y13" s="5">
        <f t="shared" si="11"/>
        <v>633.99931416890945</v>
      </c>
      <c r="Z13" s="5">
        <f t="shared" si="11"/>
        <v>716.9025787821738</v>
      </c>
    </row>
    <row r="14" spans="1:31" x14ac:dyDescent="0.2">
      <c r="B14" s="2" t="s">
        <v>32</v>
      </c>
      <c r="G14" s="5">
        <f>8.911-5.263+4.907</f>
        <v>8.5549999999999997</v>
      </c>
      <c r="H14" s="5">
        <f>11.558-5.835-2.07</f>
        <v>3.653</v>
      </c>
      <c r="I14" s="5">
        <f>12.606-5.646-1.792</f>
        <v>5.1680000000000001</v>
      </c>
      <c r="J14" s="5">
        <f>+S14-I14-H14-G14</f>
        <v>11.568999999999999</v>
      </c>
      <c r="K14" s="5">
        <f>13.942-5.649-0.37</f>
        <v>7.9229999999999992</v>
      </c>
      <c r="L14" s="5">
        <f>13.572-5.648-0.563</f>
        <v>7.3609999999999998</v>
      </c>
      <c r="M14" s="5">
        <f>15.326-5.66+2.239</f>
        <v>11.905000000000001</v>
      </c>
      <c r="N14" s="5">
        <f>+M14</f>
        <v>11.905000000000001</v>
      </c>
      <c r="Q14" s="2">
        <f>0.776-81.141+5.088</f>
        <v>-75.277000000000015</v>
      </c>
      <c r="R14" s="2">
        <f>12.674-21.944-0.859</f>
        <v>-10.129</v>
      </c>
      <c r="S14" s="2">
        <f>46.782-22.282+4.445</f>
        <v>28.944999999999997</v>
      </c>
      <c r="T14" s="2">
        <f t="shared" ref="T14:T16" si="12">SUM(K14:N14)</f>
        <v>39.094000000000001</v>
      </c>
    </row>
    <row r="15" spans="1:31" x14ac:dyDescent="0.2">
      <c r="B15" s="2" t="s">
        <v>31</v>
      </c>
      <c r="G15" s="5">
        <f t="shared" ref="G15:N15" si="13">+G13+G14</f>
        <v>15.282000000000089</v>
      </c>
      <c r="H15" s="5">
        <f t="shared" si="13"/>
        <v>20.083000000000006</v>
      </c>
      <c r="I15" s="5">
        <f t="shared" si="13"/>
        <v>40.980000000000011</v>
      </c>
      <c r="J15" s="5">
        <f t="shared" si="13"/>
        <v>79.169999999999945</v>
      </c>
      <c r="K15" s="5">
        <f t="shared" si="13"/>
        <v>28.467999999999957</v>
      </c>
      <c r="L15" s="5">
        <f t="shared" si="13"/>
        <v>54.734999999999964</v>
      </c>
      <c r="M15" s="5">
        <f t="shared" si="13"/>
        <v>61.113000000000085</v>
      </c>
      <c r="N15" s="5">
        <f t="shared" si="13"/>
        <v>86.066911699999906</v>
      </c>
      <c r="Q15" s="5">
        <f t="shared" ref="Q15:Z15" si="14">+Q13+Q14</f>
        <v>-110.02600000000004</v>
      </c>
      <c r="R15" s="5">
        <f t="shared" si="14"/>
        <v>18.64900000000025</v>
      </c>
      <c r="S15" s="5">
        <f t="shared" si="14"/>
        <v>155.51499999999993</v>
      </c>
      <c r="T15" s="5">
        <f t="shared" si="14"/>
        <v>230.38291169999974</v>
      </c>
      <c r="U15" s="5">
        <f t="shared" si="14"/>
        <v>268.86399588999984</v>
      </c>
      <c r="V15" s="5">
        <f t="shared" si="14"/>
        <v>365.5522478488997</v>
      </c>
      <c r="W15" s="5">
        <f t="shared" si="14"/>
        <v>458.50740172738847</v>
      </c>
      <c r="X15" s="5">
        <f t="shared" si="14"/>
        <v>547.9271255746628</v>
      </c>
      <c r="Y15" s="5">
        <f t="shared" si="14"/>
        <v>633.99931416890945</v>
      </c>
      <c r="Z15" s="5">
        <f t="shared" si="14"/>
        <v>716.9025787821738</v>
      </c>
    </row>
    <row r="16" spans="1:31" x14ac:dyDescent="0.2">
      <c r="B16" s="2" t="s">
        <v>29</v>
      </c>
      <c r="G16" s="5">
        <v>0.68100000000000005</v>
      </c>
      <c r="H16" s="5">
        <v>-0.95199999999999996</v>
      </c>
      <c r="I16" s="5">
        <v>2.484</v>
      </c>
      <c r="J16" s="5">
        <f>+S16-I16-H16-G16</f>
        <v>41.923999999999999</v>
      </c>
      <c r="K16" s="5">
        <v>2.69</v>
      </c>
      <c r="L16" s="5">
        <v>3.8839999999999999</v>
      </c>
      <c r="M16" s="5">
        <v>-0.78</v>
      </c>
      <c r="N16" s="5">
        <f>+N15*0.1</f>
        <v>8.6066911699999906</v>
      </c>
      <c r="Q16" s="2">
        <v>0.76</v>
      </c>
      <c r="R16" s="2">
        <v>-3.8119999999999998</v>
      </c>
      <c r="S16" s="2">
        <v>44.137</v>
      </c>
      <c r="T16" s="2">
        <f t="shared" si="12"/>
        <v>14.400691169999991</v>
      </c>
      <c r="U16" s="2">
        <f t="shared" ref="U16:Z16" si="15">+U15*0.25</f>
        <v>67.21599897249996</v>
      </c>
      <c r="V16" s="2">
        <f t="shared" si="15"/>
        <v>91.388061962224924</v>
      </c>
      <c r="W16" s="2">
        <f t="shared" si="15"/>
        <v>114.62685043184712</v>
      </c>
      <c r="X16" s="2">
        <f t="shared" si="15"/>
        <v>136.9817813936657</v>
      </c>
      <c r="Y16" s="2">
        <f t="shared" si="15"/>
        <v>158.49982854222736</v>
      </c>
      <c r="Z16" s="2">
        <f t="shared" si="15"/>
        <v>179.22564469554345</v>
      </c>
    </row>
    <row r="17" spans="2:26" x14ac:dyDescent="0.2">
      <c r="B17" s="2" t="s">
        <v>30</v>
      </c>
      <c r="G17" s="5">
        <f t="shared" ref="G17:N17" si="16">+G15-G16</f>
        <v>14.601000000000088</v>
      </c>
      <c r="H17" s="5">
        <f t="shared" si="16"/>
        <v>21.035000000000004</v>
      </c>
      <c r="I17" s="5">
        <f t="shared" si="16"/>
        <v>38.496000000000009</v>
      </c>
      <c r="J17" s="5">
        <f t="shared" si="16"/>
        <v>37.245999999999945</v>
      </c>
      <c r="K17" s="5">
        <f t="shared" si="16"/>
        <v>25.777999999999956</v>
      </c>
      <c r="L17" s="5">
        <f t="shared" si="16"/>
        <v>50.850999999999964</v>
      </c>
      <c r="M17" s="5">
        <f t="shared" si="16"/>
        <v>61.893000000000086</v>
      </c>
      <c r="N17" s="5">
        <f t="shared" si="16"/>
        <v>77.460220529999916</v>
      </c>
      <c r="Q17" s="5">
        <f t="shared" ref="Q17:Z17" si="17">+Q15-Q16</f>
        <v>-110.78600000000004</v>
      </c>
      <c r="R17" s="5">
        <f t="shared" si="17"/>
        <v>22.461000000000251</v>
      </c>
      <c r="S17" s="5">
        <f t="shared" si="17"/>
        <v>111.37799999999993</v>
      </c>
      <c r="T17" s="5">
        <f t="shared" si="17"/>
        <v>215.98222052999975</v>
      </c>
      <c r="U17" s="5">
        <f t="shared" si="17"/>
        <v>201.64799691749988</v>
      </c>
      <c r="V17" s="5">
        <f t="shared" si="17"/>
        <v>274.16418588667477</v>
      </c>
      <c r="W17" s="5">
        <f t="shared" si="17"/>
        <v>343.88055129554135</v>
      </c>
      <c r="X17" s="5">
        <f t="shared" si="17"/>
        <v>410.9453441809971</v>
      </c>
      <c r="Y17" s="5">
        <f t="shared" si="17"/>
        <v>475.49948562668209</v>
      </c>
      <c r="Z17" s="5">
        <f t="shared" si="17"/>
        <v>537.67693408663035</v>
      </c>
    </row>
    <row r="18" spans="2:26" x14ac:dyDescent="0.2">
      <c r="B18" s="2" t="s">
        <v>33</v>
      </c>
      <c r="G18" s="8">
        <f t="shared" ref="G18:N18" si="18">+G17/G19</f>
        <v>8.9619192454905433E-2</v>
      </c>
      <c r="H18" s="8">
        <f t="shared" si="18"/>
        <v>0.1281283072909935</v>
      </c>
      <c r="I18" s="8">
        <f t="shared" si="18"/>
        <v>0.23314041170176644</v>
      </c>
      <c r="J18" s="8">
        <f t="shared" si="18"/>
        <v>0.22557013129270517</v>
      </c>
      <c r="K18" s="8">
        <f t="shared" si="18"/>
        <v>0.15368679037533139</v>
      </c>
      <c r="L18" s="8">
        <f t="shared" si="18"/>
        <v>0.29872011088920974</v>
      </c>
      <c r="M18" s="8">
        <f t="shared" si="18"/>
        <v>0.36089995233832584</v>
      </c>
      <c r="N18" s="8">
        <f t="shared" si="18"/>
        <v>0.45167288542150386</v>
      </c>
      <c r="Q18" s="1">
        <f>+Q17/Q19</f>
        <v>-0.7059160160018253</v>
      </c>
      <c r="R18" s="1">
        <f>+R17/R19</f>
        <v>0.13911433315952404</v>
      </c>
      <c r="S18" s="1">
        <f>+S17/S19</f>
        <v>0.67674811816987723</v>
      </c>
      <c r="T18" s="1">
        <f>+T17/T19</f>
        <v>1.2593988511657632</v>
      </c>
      <c r="U18" s="1">
        <f t="shared" ref="U18:Z18" si="19">+U17/U19</f>
        <v>1.1758155603484155</v>
      </c>
      <c r="V18" s="1">
        <f t="shared" si="19"/>
        <v>1.5986596484154376</v>
      </c>
      <c r="W18" s="1">
        <f t="shared" si="19"/>
        <v>2.0051778807399527</v>
      </c>
      <c r="X18" s="1">
        <f t="shared" si="19"/>
        <v>2.3962347135956983</v>
      </c>
      <c r="Y18" s="1">
        <f t="shared" si="19"/>
        <v>2.772651862077582</v>
      </c>
      <c r="Z18" s="1">
        <f t="shared" si="19"/>
        <v>3.1352104419769891</v>
      </c>
    </row>
    <row r="19" spans="2:26" s="2" customFormat="1" x14ac:dyDescent="0.2">
      <c r="B19" s="2" t="s">
        <v>1</v>
      </c>
      <c r="C19" s="5"/>
      <c r="D19" s="5"/>
      <c r="E19" s="5"/>
      <c r="F19" s="5"/>
      <c r="G19" s="5">
        <v>162.92269099999999</v>
      </c>
      <c r="H19" s="5">
        <v>164.17137199999999</v>
      </c>
      <c r="I19" s="5">
        <v>165.11937900000001</v>
      </c>
      <c r="J19" s="5">
        <f>I19</f>
        <v>165.11937900000001</v>
      </c>
      <c r="K19" s="5">
        <v>167.73074600000001</v>
      </c>
      <c r="L19" s="5">
        <v>170.2295833</v>
      </c>
      <c r="M19" s="5">
        <v>171.49628200000001</v>
      </c>
      <c r="N19" s="5">
        <f>+M19</f>
        <v>171.49628200000001</v>
      </c>
      <c r="Q19" s="2">
        <v>156.93934899999999</v>
      </c>
      <c r="R19" s="2">
        <v>161.457123</v>
      </c>
      <c r="S19" s="2">
        <v>164.57821899999999</v>
      </c>
      <c r="T19" s="2">
        <f>+N19</f>
        <v>171.49628200000001</v>
      </c>
      <c r="U19" s="2">
        <f>+T19</f>
        <v>171.49628200000001</v>
      </c>
      <c r="V19" s="2">
        <f t="shared" ref="V19:Z19" si="20">+U19</f>
        <v>171.49628200000001</v>
      </c>
      <c r="W19" s="2">
        <f t="shared" si="20"/>
        <v>171.49628200000001</v>
      </c>
      <c r="X19" s="2">
        <f t="shared" si="20"/>
        <v>171.49628200000001</v>
      </c>
      <c r="Y19" s="2">
        <f t="shared" si="20"/>
        <v>171.49628200000001</v>
      </c>
      <c r="Z19" s="2">
        <f t="shared" si="20"/>
        <v>171.49628200000001</v>
      </c>
    </row>
    <row r="21" spans="2:26" x14ac:dyDescent="0.2">
      <c r="B21" s="2" t="s">
        <v>38</v>
      </c>
      <c r="K21" s="9">
        <f>+K6/G6-1</f>
        <v>2.6836966264278894E-2</v>
      </c>
      <c r="L21" s="9">
        <f>+L6/H6-1</f>
        <v>-1.5269632713371672E-2</v>
      </c>
      <c r="M21" s="9">
        <f>+M6/I6-1</f>
        <v>-2.9883163344127439E-2</v>
      </c>
      <c r="N21" s="9">
        <f>+N6/J6-1</f>
        <v>1.0000000000000009E-2</v>
      </c>
      <c r="R21" s="10">
        <f>+R6/Q6-1</f>
        <v>0.18405653151191981</v>
      </c>
      <c r="S21" s="10">
        <f>+S6/R6-1</f>
        <v>8.1257998038922308E-2</v>
      </c>
      <c r="T21" s="10">
        <f t="shared" ref="T21:Z21" si="21">+T6/S6-1</f>
        <v>-2.3822987494309666E-3</v>
      </c>
      <c r="U21" s="10">
        <f t="shared" si="21"/>
        <v>1.0000000000000009E-2</v>
      </c>
      <c r="V21" s="10">
        <f t="shared" si="21"/>
        <v>1.0000000000000009E-2</v>
      </c>
      <c r="W21" s="10">
        <f t="shared" si="21"/>
        <v>1.0000000000000009E-2</v>
      </c>
      <c r="X21" s="10">
        <f t="shared" si="21"/>
        <v>1.0000000000000009E-2</v>
      </c>
      <c r="Y21" s="10">
        <f t="shared" si="21"/>
        <v>1.0000000000000009E-2</v>
      </c>
      <c r="Z21" s="10">
        <f t="shared" si="21"/>
        <v>1.0000000000000009E-2</v>
      </c>
    </row>
    <row r="22" spans="2:26" x14ac:dyDescent="0.2">
      <c r="B22" s="2" t="s">
        <v>39</v>
      </c>
      <c r="G22" s="9">
        <f t="shared" ref="G22:N22" si="22">+G8/G6</f>
        <v>0.69788031351908009</v>
      </c>
      <c r="H22" s="9">
        <f t="shared" si="22"/>
        <v>0.70794260016002308</v>
      </c>
      <c r="I22" s="9">
        <f t="shared" si="22"/>
        <v>0.71834399110623737</v>
      </c>
      <c r="J22" s="9">
        <f t="shared" si="22"/>
        <v>0.70716715592246793</v>
      </c>
      <c r="K22" s="9">
        <f t="shared" si="22"/>
        <v>0.69891864033764051</v>
      </c>
      <c r="L22" s="9">
        <f t="shared" si="22"/>
        <v>0.7072756535978233</v>
      </c>
      <c r="M22" s="9">
        <f t="shared" si="22"/>
        <v>0.71937118662061994</v>
      </c>
      <c r="N22" s="9">
        <f t="shared" si="22"/>
        <v>0.71</v>
      </c>
      <c r="Q22" s="9">
        <f t="shared" ref="Q22:Z22" si="23">+Q8/Q6</f>
        <v>0.68010244467107162</v>
      </c>
      <c r="R22" s="9">
        <f t="shared" si="23"/>
        <v>0.6909350019112197</v>
      </c>
      <c r="S22" s="9">
        <f t="shared" si="23"/>
        <v>0.70795165259960458</v>
      </c>
      <c r="T22" s="9">
        <f t="shared" si="23"/>
        <v>0.70887993494468582</v>
      </c>
      <c r="U22" s="9">
        <f t="shared" si="23"/>
        <v>0.7</v>
      </c>
      <c r="V22" s="9">
        <f t="shared" si="23"/>
        <v>0.7</v>
      </c>
      <c r="W22" s="9">
        <f t="shared" si="23"/>
        <v>0.7</v>
      </c>
      <c r="X22" s="9">
        <f t="shared" si="23"/>
        <v>0.7</v>
      </c>
      <c r="Y22" s="9">
        <f t="shared" si="23"/>
        <v>0.7</v>
      </c>
      <c r="Z22" s="9">
        <f t="shared" si="23"/>
        <v>0.7</v>
      </c>
    </row>
    <row r="24" spans="2:26" s="2" customFormat="1" x14ac:dyDescent="0.2">
      <c r="B24" s="2" t="s">
        <v>34</v>
      </c>
      <c r="C24" s="5"/>
      <c r="D24" s="5"/>
      <c r="E24" s="5"/>
      <c r="F24" s="5"/>
      <c r="G24" s="5">
        <v>13.156000000000001</v>
      </c>
      <c r="H24" s="5">
        <f>114.338-G24</f>
        <v>101.18199999999999</v>
      </c>
      <c r="I24" s="5">
        <f>219.939-H24</f>
        <v>118.75700000000001</v>
      </c>
      <c r="J24" s="5">
        <f>+S24-I24-H24-G24</f>
        <v>116.92600000000002</v>
      </c>
      <c r="K24" s="5">
        <v>8.92</v>
      </c>
      <c r="L24" s="5">
        <f>97.603-K24</f>
        <v>88.682999999999993</v>
      </c>
      <c r="M24" s="5">
        <f>207.778-L24-K24</f>
        <v>110.175</v>
      </c>
      <c r="N24" s="5"/>
      <c r="Q24" s="2">
        <v>193.99</v>
      </c>
      <c r="R24" s="2">
        <v>189.292</v>
      </c>
      <c r="S24" s="2">
        <v>350.02100000000002</v>
      </c>
    </row>
    <row r="25" spans="2:26" s="2" customFormat="1" x14ac:dyDescent="0.2">
      <c r="B25" s="2" t="s">
        <v>36</v>
      </c>
      <c r="C25" s="5"/>
      <c r="D25" s="5"/>
      <c r="E25" s="5"/>
      <c r="F25" s="5"/>
      <c r="G25" s="5">
        <v>-2.363</v>
      </c>
      <c r="H25" s="5">
        <f>-4.267-G25</f>
        <v>-1.9040000000000004</v>
      </c>
      <c r="I25" s="5">
        <f>-10.06-H25-G25</f>
        <v>-5.793000000000001</v>
      </c>
      <c r="J25" s="5">
        <f>+S25-I25-H25-G25</f>
        <v>-1.403999999999999</v>
      </c>
      <c r="K25" s="5">
        <v>-1.149</v>
      </c>
      <c r="L25" s="5">
        <f>-3.061-K25</f>
        <v>-1.9119999999999999</v>
      </c>
      <c r="M25" s="5">
        <f>-4.658-L25-K25</f>
        <v>-1.5970000000000004</v>
      </c>
      <c r="N25" s="5"/>
      <c r="Q25" s="2">
        <v>-8.5340000000000007</v>
      </c>
      <c r="R25" s="2">
        <v>-16.48</v>
      </c>
      <c r="S25" s="2">
        <v>-11.464</v>
      </c>
    </row>
    <row r="26" spans="2:26" s="2" customFormat="1" x14ac:dyDescent="0.2">
      <c r="B26" s="2" t="s">
        <v>37</v>
      </c>
      <c r="C26" s="5"/>
      <c r="D26" s="5"/>
      <c r="E26" s="5"/>
      <c r="F26" s="5"/>
      <c r="G26" s="5">
        <v>-43.261000000000003</v>
      </c>
      <c r="H26" s="5">
        <f>-77.927-G26</f>
        <v>-34.666000000000004</v>
      </c>
      <c r="I26" s="5">
        <f>-109.781-H26-G26</f>
        <v>-31.854000000000006</v>
      </c>
      <c r="J26" s="5">
        <f>+S26-I26-H26-G26</f>
        <v>-35.102999999999973</v>
      </c>
      <c r="K26" s="5">
        <v>-34.363</v>
      </c>
      <c r="L26" s="5">
        <f>-60.199-K26</f>
        <v>-25.835999999999999</v>
      </c>
      <c r="M26" s="5">
        <f>-89.75-L26-K26</f>
        <v>-29.551000000000002</v>
      </c>
      <c r="N26" s="5"/>
      <c r="Q26" s="2">
        <v>-55.4</v>
      </c>
      <c r="R26" s="2">
        <v>-156.28399999999999</v>
      </c>
      <c r="S26" s="2">
        <v>-144.88399999999999</v>
      </c>
    </row>
    <row r="27" spans="2:26" s="2" customFormat="1" x14ac:dyDescent="0.2">
      <c r="B27" s="2" t="s">
        <v>35</v>
      </c>
      <c r="C27" s="5"/>
      <c r="D27" s="5"/>
      <c r="E27" s="5"/>
      <c r="F27" s="5"/>
      <c r="G27" s="5">
        <f t="shared" ref="G27:L27" si="24">+G26+G25+G24</f>
        <v>-32.468000000000004</v>
      </c>
      <c r="H27" s="5">
        <f t="shared" si="24"/>
        <v>64.611999999999981</v>
      </c>
      <c r="I27" s="5">
        <f t="shared" si="24"/>
        <v>81.11</v>
      </c>
      <c r="J27" s="5">
        <f t="shared" si="24"/>
        <v>80.41900000000004</v>
      </c>
      <c r="K27" s="5">
        <f t="shared" si="24"/>
        <v>-26.591999999999999</v>
      </c>
      <c r="L27" s="5">
        <f t="shared" si="24"/>
        <v>60.934999999999995</v>
      </c>
      <c r="M27" s="5">
        <f>+M24+M25+M26</f>
        <v>79.027000000000001</v>
      </c>
      <c r="N27" s="5"/>
      <c r="Q27" s="2">
        <f>+Q26+Q25+Q24</f>
        <v>130.05600000000001</v>
      </c>
      <c r="R27" s="2">
        <f>+R26+R25+R24</f>
        <v>16.52800000000002</v>
      </c>
      <c r="S27" s="2">
        <f>+S26+S25+S24</f>
        <v>193.67300000000003</v>
      </c>
    </row>
  </sheetData>
  <hyperlinks>
    <hyperlink ref="A1" location="Main!A1" display="Main" xr:uid="{C0AF2665-1B91-403F-8317-9978B484229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2024-12-09T13:12:09Z</dcterms:created>
  <dcterms:modified xsi:type="dcterms:W3CDTF">2025-10-16T16:57:46Z</dcterms:modified>
</cp:coreProperties>
</file>