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FC654FC-AD6D-44F1-954D-11EAD9C8B9E0}" xr6:coauthVersionLast="47" xr6:coauthVersionMax="47" xr10:uidLastSave="{00000000-0000-0000-0000-000000000000}"/>
  <bookViews>
    <workbookView xWindow="3150" yWindow="3150" windowWidth="18075" windowHeight="16020" activeTab="1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2" l="1"/>
  <c r="O83" i="2"/>
  <c r="N83" i="2"/>
  <c r="N73" i="2"/>
  <c r="N75" i="2" s="1"/>
  <c r="N69" i="2"/>
  <c r="N66" i="2"/>
  <c r="N70" i="2" s="1"/>
  <c r="N57" i="2"/>
  <c r="N53" i="2"/>
  <c r="N52" i="2"/>
  <c r="N46" i="2"/>
  <c r="N41" i="2"/>
  <c r="N49" i="2"/>
  <c r="P31" i="2"/>
  <c r="P26" i="2"/>
  <c r="P23" i="2"/>
  <c r="P22" i="2"/>
  <c r="P21" i="2"/>
  <c r="P20" i="2"/>
  <c r="P24" i="2" s="1"/>
  <c r="M35" i="2"/>
  <c r="M37" i="2"/>
  <c r="L38" i="2"/>
  <c r="O39" i="2"/>
  <c r="H17" i="2"/>
  <c r="H19" i="2" s="1"/>
  <c r="L17" i="2"/>
  <c r="L33" i="2" s="1"/>
  <c r="H5" i="2"/>
  <c r="K38" i="2"/>
  <c r="M38" i="2"/>
  <c r="N38" i="2"/>
  <c r="P17" i="2"/>
  <c r="P11" i="2" s="1"/>
  <c r="O38" i="2"/>
  <c r="O37" i="2"/>
  <c r="O36" i="2"/>
  <c r="O35" i="2"/>
  <c r="O73" i="2"/>
  <c r="O75" i="2" s="1"/>
  <c r="O69" i="2"/>
  <c r="O70" i="2" s="1"/>
  <c r="O88" i="2" s="1"/>
  <c r="O26" i="2"/>
  <c r="O24" i="2"/>
  <c r="O57" i="2"/>
  <c r="O53" i="2"/>
  <c r="O52" i="2"/>
  <c r="O46" i="2"/>
  <c r="O41" i="2"/>
  <c r="O49" i="2" s="1"/>
  <c r="J17" i="2"/>
  <c r="K17" i="2"/>
  <c r="K19" i="2" s="1"/>
  <c r="K39" i="2" s="1"/>
  <c r="O17" i="2"/>
  <c r="O19" i="2" s="1"/>
  <c r="N17" i="2"/>
  <c r="O5" i="2"/>
  <c r="L5" i="2"/>
  <c r="P34" i="2" s="1"/>
  <c r="K5" i="2"/>
  <c r="N37" i="2"/>
  <c r="M36" i="2"/>
  <c r="N36" i="2"/>
  <c r="N35" i="2"/>
  <c r="I5" i="2"/>
  <c r="J5" i="2"/>
  <c r="M5" i="2"/>
  <c r="M34" i="2" s="1"/>
  <c r="N5" i="2"/>
  <c r="N34" i="2" s="1"/>
  <c r="J26" i="2"/>
  <c r="J24" i="2"/>
  <c r="N26" i="2"/>
  <c r="N24" i="2"/>
  <c r="I17" i="2"/>
  <c r="I19" i="2" s="1"/>
  <c r="M17" i="2"/>
  <c r="M11" i="2" s="1"/>
  <c r="K28" i="2"/>
  <c r="K26" i="2"/>
  <c r="K24" i="2"/>
  <c r="G28" i="2"/>
  <c r="G26" i="2"/>
  <c r="G24" i="2"/>
  <c r="G19" i="2"/>
  <c r="H28" i="2"/>
  <c r="H26" i="2"/>
  <c r="H24" i="2"/>
  <c r="L28" i="2"/>
  <c r="L26" i="2"/>
  <c r="L24" i="2"/>
  <c r="I28" i="2"/>
  <c r="M28" i="2"/>
  <c r="M26" i="2"/>
  <c r="I26" i="2"/>
  <c r="I24" i="2"/>
  <c r="M24" i="2"/>
  <c r="K4" i="1"/>
  <c r="K7" i="1" s="1"/>
  <c r="N85" i="2" l="1"/>
  <c r="J11" i="2"/>
  <c r="P19" i="2"/>
  <c r="P18" i="2" s="1"/>
  <c r="H11" i="2"/>
  <c r="L11" i="2"/>
  <c r="L19" i="2"/>
  <c r="L39" i="2" s="1"/>
  <c r="K11" i="2"/>
  <c r="N11" i="2"/>
  <c r="O11" i="2"/>
  <c r="N58" i="2"/>
  <c r="I11" i="2"/>
  <c r="P33" i="2"/>
  <c r="O25" i="2"/>
  <c r="O27" i="2" s="1"/>
  <c r="O29" i="2" s="1"/>
  <c r="M33" i="2"/>
  <c r="O34" i="2"/>
  <c r="N19" i="2"/>
  <c r="O85" i="2"/>
  <c r="N33" i="2"/>
  <c r="O33" i="2"/>
  <c r="J19" i="2"/>
  <c r="K33" i="2"/>
  <c r="O58" i="2"/>
  <c r="J25" i="2"/>
  <c r="J27" i="2" s="1"/>
  <c r="J29" i="2" s="1"/>
  <c r="J30" i="2" s="1"/>
  <c r="M19" i="2"/>
  <c r="G25" i="2"/>
  <c r="G27" i="2" s="1"/>
  <c r="G29" i="2" s="1"/>
  <c r="G30" i="2" s="1"/>
  <c r="K25" i="2"/>
  <c r="K27" i="2" s="1"/>
  <c r="K29" i="2" s="1"/>
  <c r="K30" i="2" s="1"/>
  <c r="H25" i="2"/>
  <c r="H27" i="2" s="1"/>
  <c r="H29" i="2" s="1"/>
  <c r="H30" i="2" s="1"/>
  <c r="L25" i="2"/>
  <c r="L27" i="2" s="1"/>
  <c r="L29" i="2" s="1"/>
  <c r="L30" i="2" s="1"/>
  <c r="I25" i="2"/>
  <c r="I27" i="2" s="1"/>
  <c r="I29" i="2" s="1"/>
  <c r="I30" i="2" s="1"/>
  <c r="P25" i="2" l="1"/>
  <c r="P27" i="2" s="1"/>
  <c r="P28" i="2" s="1"/>
  <c r="P29" i="2" s="1"/>
  <c r="P30" i="2" s="1"/>
  <c r="M25" i="2"/>
  <c r="M27" i="2" s="1"/>
  <c r="M29" i="2" s="1"/>
  <c r="M30" i="2" s="1"/>
  <c r="M39" i="2"/>
  <c r="N25" i="2"/>
  <c r="N27" i="2" s="1"/>
  <c r="N28" i="2" s="1"/>
  <c r="N39" i="2"/>
  <c r="O60" i="2"/>
  <c r="O30" i="2"/>
  <c r="N29" i="2"/>
  <c r="N30" i="2" l="1"/>
  <c r="N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P5" authorId="0" shapeId="0" xr:uid="{7A6481A6-EDE0-46C1-A7C7-5607CFCF72A4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Q125 guidance: 45.75-47.25</t>
        </r>
      </text>
    </comment>
  </commentList>
</comments>
</file>

<file path=xl/sharedStrings.xml><?xml version="1.0" encoding="utf-8"?>
<sst xmlns="http://schemas.openxmlformats.org/spreadsheetml/2006/main" count="105" uniqueCount="94">
  <si>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</si>
  <si>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</si>
  <si>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</si>
  <si>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</si>
  <si>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</si>
  <si>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</si>
  <si>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</si>
  <si>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</si>
  <si>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</si>
  <si>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</si>
  <si>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</si>
  <si>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</si>
  <si>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</si>
  <si>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</si>
  <si>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</si>
  <si>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</si>
  <si>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</si>
  <si>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</si>
  <si>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</si>
  <si>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</si>
  <si>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</si>
  <si>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</si>
  <si>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</si>
  <si>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</si>
  <si>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</si>
  <si>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</si>
  <si>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</si>
  <si>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</si>
  <si>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</si>
  <si>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</si>
  <si>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</si>
  <si>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</si>
  <si>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</si>
  <si>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</si>
  <si>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</si>
  <si>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</si>
  <si>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</si>
  <si>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</si>
  <si>
    <t>Bookings</t>
  </si>
  <si>
    <t>CFO: Prashanth Mahendra-Rajah</t>
  </si>
  <si>
    <t xml:space="preserve">  Mobility</t>
  </si>
  <si>
    <t xml:space="preserve">  Delivery</t>
  </si>
  <si>
    <t>MAU</t>
  </si>
  <si>
    <t>Trips</t>
  </si>
  <si>
    <t>Freight</t>
  </si>
  <si>
    <t>Delivery</t>
  </si>
  <si>
    <t>Mobility</t>
  </si>
  <si>
    <t xml:space="preserve">  Freight</t>
  </si>
  <si>
    <t>Q125</t>
  </si>
  <si>
    <t>Q225</t>
  </si>
  <si>
    <t>Q325</t>
  </si>
  <si>
    <t>Q425</t>
  </si>
  <si>
    <t>Bookings y/y</t>
  </si>
  <si>
    <t>Trips y/y</t>
  </si>
  <si>
    <t>Mobility Bookings y/y</t>
  </si>
  <si>
    <t>Mobility Revenue y/y</t>
  </si>
  <si>
    <t>Take Rate</t>
  </si>
  <si>
    <t>AR</t>
  </si>
  <si>
    <t>Prepaids</t>
  </si>
  <si>
    <t>PP&amp;E</t>
  </si>
  <si>
    <t>Lease</t>
  </si>
  <si>
    <t>Intangibles</t>
  </si>
  <si>
    <t>DTA</t>
  </si>
  <si>
    <t>Other</t>
  </si>
  <si>
    <t>Assets</t>
  </si>
  <si>
    <t>AP</t>
  </si>
  <si>
    <t>Insurance Reserves</t>
  </si>
  <si>
    <t>Accrued</t>
  </si>
  <si>
    <t>OLTL</t>
  </si>
  <si>
    <t>SE</t>
  </si>
  <si>
    <t>L+SE</t>
  </si>
  <si>
    <t>Model NI</t>
  </si>
  <si>
    <t>Reported NI</t>
  </si>
  <si>
    <t>CFFO</t>
  </si>
  <si>
    <t>WC</t>
  </si>
  <si>
    <t>D&amp;A</t>
  </si>
  <si>
    <t>SBC</t>
  </si>
  <si>
    <t>DT</t>
  </si>
  <si>
    <t>Unrealized Gain</t>
  </si>
  <si>
    <t>Unrealized FX</t>
  </si>
  <si>
    <t>CFFI</t>
  </si>
  <si>
    <t>CapEx</t>
  </si>
  <si>
    <t>Investments</t>
  </si>
  <si>
    <t>Leases</t>
  </si>
  <si>
    <t>Buybacks</t>
  </si>
  <si>
    <t>CFFF</t>
  </si>
  <si>
    <t>CIC</t>
  </si>
  <si>
    <t>FX</t>
  </si>
  <si>
    <t>Gross Margin</t>
  </si>
  <si>
    <t>FCF</t>
  </si>
  <si>
    <t>Bad Debt</t>
  </si>
  <si>
    <t>ESOP</t>
  </si>
  <si>
    <t>NCI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</si>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</sst>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16675</xdr:colOff>
      <xdr:row>0</xdr:row>
      <xdr:rowOff>19202</xdr:rowOff>
    </xdr:from>
    <xdr:to>
      <xdr:col>15</xdr:col>
      <xdr:colOff>16675</xdr:colOff>
      <xdr:row>90</xdr:row>
      <xdr:rowOff>162034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7F6E3E-A4A7-F025-A548-8D9A977D8E13}"/>
            </a:ext>
          </a:extLst>
        </xdr:cNvPr>
        <xdr:cNvCxnSpPr/>
      </xdr:nvCxnSpPr>
      <xdr:spPr>
        <a:xfrm>
          <a:off x="9554813" y="19202"/>
          <a:ext cx="0" cy="141215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L11"/>
  <sheetViews>
    <sheetView zoomScaleNormal="100" workbookViewId="0">
      <selection activeCell="M11" sqref="M11"/>
    </sheetView>
  </sheetViews>
  <sheetFormatPr defaultRowHeight="12.75" x14ac:dyDescent="0.2"/>
  <sheetData>
    <row r="2" spans="2:12" x14ac:dyDescent="0.2">
      <c r="B2" t="s">
        <v>35</v>
      </c>
      <c r="J2" t="s">
        <v>0</v>
      </c>
      <c r="K2" s="1">
        <v>92</v>
      </c>
    </row>
    <row r="3" spans="2:12" x14ac:dyDescent="0.2">
      <c r="B3" t="s">
        <v>36</v>
      </c>
      <c r="J3" t="s">
        <v>1</v>
      </c>
      <c r="K3" s="2">
        <v>2123</v>
      </c>
      <c r="L3" s="3" t="s">
        <v>48</v>
      </c>
    </row>
    <row r="4" spans="2:12" x14ac:dyDescent="0.2">
      <c r="J4" t="s">
        <v>2</v>
      </c>
      <c r="K4" s="2">
        <f>+K2*K3</f>
        <v>195316</v>
      </c>
    </row>
    <row r="5" spans="2:12" x14ac:dyDescent="0.2">
      <c r="J5" t="s">
        <v>3</v>
      </c>
      <c r="K5" s="2">
        <v>25949</v>
      </c>
      <c r="L5" s="3" t="s">
        <v>48</v>
      </c>
    </row>
    <row r="6" spans="2:12" x14ac:dyDescent="0.2">
      <c r="J6" t="s">
        <v>4</v>
      </c>
      <c r="K6" s="2">
        <v>8350</v>
      </c>
      <c r="L6" s="3" t="s">
        <v>48</v>
      </c>
    </row>
    <row r="7" spans="2:12" x14ac:dyDescent="0.2">
      <c r="J7" t="s">
        <v>5</v>
      </c>
      <c r="K7" s="2">
        <f>+K4-K5+K6</f>
        <v>177717</v>
      </c>
    </row>
    <row r="9" spans="2:12" x14ac:dyDescent="0.2">
      <c r="J9" t="s">
        <v>37</v>
      </c>
    </row>
    <row r="10" spans="2:12" x14ac:dyDescent="0.2">
      <c r="J10" t="s">
        <v>39</v>
      </c>
    </row>
    <row r="11" spans="2:12" x14ac:dyDescent="0.2">
      <c r="J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R88"/>
  <sheetViews>
    <sheetView tabSelected="1" zoomScaleNormal="100" workbookViewId="0">
      <pane xSplit="2" ySplit="2" topLeftCell="K54" activePane="bottomRight" state="frozen"/>
      <selection pane="topRight" activeCell="C1" sqref="C1"/>
      <selection pane="bottomLeft" activeCell="A3" sqref="A3"/>
      <selection pane="bottomRight" activeCell="N88" sqref="N88:O88"/>
    </sheetView>
  </sheetViews>
  <sheetFormatPr defaultRowHeight="12.75" x14ac:dyDescent="0.2"/>
  <cols>
    <col min="1" max="1" width="5" bestFit="1" customWidth="1"/>
    <col min="2" max="2" width="19.28515625" bestFit="1" customWidth="1"/>
    <col min="3" max="14" width="9.140625" style="3"/>
    <col min="15" max="15" width="8.42578125" customWidth="1"/>
  </cols>
  <sheetData>
    <row r="1" spans="1:18" x14ac:dyDescent="0.2">
      <c r="A1" s="9" t="s">
        <v>7</v>
      </c>
    </row>
    <row r="2" spans="1:18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48</v>
      </c>
      <c r="P2" s="3" t="s">
        <v>49</v>
      </c>
      <c r="Q2" s="3" t="s">
        <v>50</v>
      </c>
      <c r="R2" s="3" t="s">
        <v>51</v>
      </c>
    </row>
    <row r="3" spans="1:18" s="2" customFormat="1" x14ac:dyDescent="0.2">
      <c r="B3" s="2" t="s">
        <v>42</v>
      </c>
      <c r="C3" s="4"/>
      <c r="D3" s="4"/>
      <c r="E3" s="4"/>
      <c r="F3" s="4"/>
      <c r="G3" s="4"/>
      <c r="H3" s="4">
        <v>137</v>
      </c>
      <c r="I3" s="4">
        <v>142</v>
      </c>
      <c r="J3" s="4">
        <v>150</v>
      </c>
      <c r="K3" s="4">
        <v>149</v>
      </c>
      <c r="L3" s="4">
        <v>156</v>
      </c>
      <c r="M3" s="4">
        <v>161</v>
      </c>
      <c r="N3" s="4">
        <v>171</v>
      </c>
      <c r="O3" s="2">
        <v>170</v>
      </c>
    </row>
    <row r="4" spans="1:18" s="2" customFormat="1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8" x14ac:dyDescent="0.2">
      <c r="B5" t="s">
        <v>38</v>
      </c>
      <c r="H5" s="4">
        <f t="shared" ref="H5:O5" si="0">+H6+H7+H8</f>
        <v>33601</v>
      </c>
      <c r="I5" s="4">
        <f t="shared" si="0"/>
        <v>35281</v>
      </c>
      <c r="J5" s="4">
        <f t="shared" si="0"/>
        <v>37575</v>
      </c>
      <c r="K5" s="4">
        <f t="shared" si="0"/>
        <v>37651</v>
      </c>
      <c r="L5" s="4">
        <f t="shared" si="0"/>
        <v>39955</v>
      </c>
      <c r="M5" s="4">
        <f t="shared" si="0"/>
        <v>40973</v>
      </c>
      <c r="N5" s="4">
        <f t="shared" si="0"/>
        <v>44197</v>
      </c>
      <c r="O5" s="4">
        <f t="shared" si="0"/>
        <v>42818</v>
      </c>
      <c r="P5" s="2">
        <v>46500</v>
      </c>
    </row>
    <row r="6" spans="1:18" s="2" customFormat="1" x14ac:dyDescent="0.2">
      <c r="B6" s="2" t="s">
        <v>40</v>
      </c>
      <c r="C6" s="4"/>
      <c r="D6" s="4"/>
      <c r="E6" s="4"/>
      <c r="F6" s="4"/>
      <c r="G6" s="4"/>
      <c r="H6" s="4">
        <v>16728</v>
      </c>
      <c r="I6" s="4">
        <v>17903</v>
      </c>
      <c r="J6" s="4">
        <v>19285</v>
      </c>
      <c r="K6" s="4">
        <v>18670</v>
      </c>
      <c r="L6" s="4">
        <v>20554</v>
      </c>
      <c r="M6" s="4">
        <v>21002</v>
      </c>
      <c r="N6" s="4">
        <v>22798</v>
      </c>
      <c r="O6" s="2">
        <v>21182</v>
      </c>
    </row>
    <row r="7" spans="1:18" x14ac:dyDescent="0.2">
      <c r="B7" t="s">
        <v>41</v>
      </c>
      <c r="H7" s="3">
        <v>15595</v>
      </c>
      <c r="I7" s="4">
        <v>16094</v>
      </c>
      <c r="J7" s="4">
        <v>17011</v>
      </c>
      <c r="K7" s="4">
        <v>17699</v>
      </c>
      <c r="L7" s="4">
        <v>18126</v>
      </c>
      <c r="M7" s="4">
        <v>18663</v>
      </c>
      <c r="N7" s="4">
        <v>20126</v>
      </c>
      <c r="O7" s="4">
        <v>20377</v>
      </c>
    </row>
    <row r="8" spans="1:18" x14ac:dyDescent="0.2">
      <c r="B8" s="2" t="s">
        <v>47</v>
      </c>
      <c r="H8" s="3">
        <v>1278</v>
      </c>
      <c r="I8" s="4">
        <v>1284</v>
      </c>
      <c r="J8" s="4">
        <v>1279</v>
      </c>
      <c r="K8" s="4">
        <v>1282</v>
      </c>
      <c r="L8" s="4">
        <v>1275</v>
      </c>
      <c r="M8" s="4">
        <v>1308</v>
      </c>
      <c r="N8" s="4">
        <v>1273</v>
      </c>
      <c r="O8" s="2">
        <v>1259</v>
      </c>
    </row>
    <row r="9" spans="1:18" s="2" customFormat="1" x14ac:dyDescent="0.2">
      <c r="B9" s="2" t="s">
        <v>43</v>
      </c>
      <c r="C9" s="4"/>
      <c r="D9" s="4"/>
      <c r="E9" s="4"/>
      <c r="F9" s="4"/>
      <c r="G9" s="4"/>
      <c r="H9" s="4">
        <v>2282</v>
      </c>
      <c r="I9" s="4">
        <v>2441</v>
      </c>
      <c r="J9" s="4">
        <v>2601</v>
      </c>
      <c r="K9" s="4">
        <v>2572</v>
      </c>
      <c r="L9" s="4">
        <v>2765</v>
      </c>
      <c r="M9" s="4">
        <v>2868</v>
      </c>
      <c r="N9" s="4">
        <v>3068</v>
      </c>
      <c r="O9" s="2">
        <v>3036</v>
      </c>
    </row>
    <row r="10" spans="1:18" s="2" customForma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8" s="2" customFormat="1" x14ac:dyDescent="0.2">
      <c r="B11" s="2" t="s">
        <v>56</v>
      </c>
      <c r="C11" s="4"/>
      <c r="D11" s="4"/>
      <c r="E11" s="4"/>
      <c r="F11" s="4"/>
      <c r="G11" s="4"/>
      <c r="H11" s="8">
        <f t="shared" ref="H11:P11" si="1">+H17/H5</f>
        <v>0.27469420552959734</v>
      </c>
      <c r="I11" s="8">
        <f t="shared" si="1"/>
        <v>0.26337121963663163</v>
      </c>
      <c r="J11" s="8">
        <f t="shared" si="1"/>
        <v>0.2644311377245509</v>
      </c>
      <c r="K11" s="8">
        <f t="shared" si="1"/>
        <v>0.26907651855196407</v>
      </c>
      <c r="L11" s="8">
        <f t="shared" si="1"/>
        <v>0.2678012764359905</v>
      </c>
      <c r="M11" s="8">
        <f t="shared" si="1"/>
        <v>0.2730578673760769</v>
      </c>
      <c r="N11" s="8">
        <f t="shared" si="1"/>
        <v>0.27058397628798336</v>
      </c>
      <c r="O11" s="8">
        <f t="shared" si="1"/>
        <v>0.2693493390630109</v>
      </c>
      <c r="P11" s="8">
        <f t="shared" si="1"/>
        <v>0.27</v>
      </c>
    </row>
    <row r="13" spans="1:18" s="2" customFormat="1" x14ac:dyDescent="0.2">
      <c r="B13" s="2" t="s">
        <v>46</v>
      </c>
      <c r="C13" s="4"/>
      <c r="D13" s="4"/>
      <c r="E13" s="4"/>
      <c r="F13" s="4"/>
      <c r="G13" s="4"/>
      <c r="H13" s="4">
        <v>4894</v>
      </c>
      <c r="I13" s="4">
        <v>5071</v>
      </c>
      <c r="J13" s="4">
        <v>5537</v>
      </c>
      <c r="K13" s="4">
        <v>5633</v>
      </c>
      <c r="L13" s="4">
        <v>6134</v>
      </c>
      <c r="M13" s="4">
        <v>6409</v>
      </c>
      <c r="N13" s="4">
        <v>6911</v>
      </c>
      <c r="O13" s="2">
        <v>6496</v>
      </c>
    </row>
    <row r="14" spans="1:18" s="2" customFormat="1" x14ac:dyDescent="0.2">
      <c r="B14" s="2" t="s">
        <v>45</v>
      </c>
      <c r="C14" s="4"/>
      <c r="D14" s="4"/>
      <c r="E14" s="4"/>
      <c r="F14" s="4"/>
      <c r="G14" s="4"/>
      <c r="H14" s="4">
        <v>3057</v>
      </c>
      <c r="I14" s="4">
        <v>2935</v>
      </c>
      <c r="J14" s="4">
        <v>3119</v>
      </c>
      <c r="K14" s="4">
        <v>3214</v>
      </c>
      <c r="L14" s="4">
        <v>3293</v>
      </c>
      <c r="M14" s="4">
        <v>3470</v>
      </c>
      <c r="N14" s="4">
        <v>3773</v>
      </c>
      <c r="O14" s="2">
        <v>3777</v>
      </c>
    </row>
    <row r="15" spans="1:18" s="2" customFormat="1" x14ac:dyDescent="0.2">
      <c r="B15" s="2" t="s">
        <v>44</v>
      </c>
      <c r="C15" s="4"/>
      <c r="D15" s="4"/>
      <c r="E15" s="4"/>
      <c r="F15" s="4"/>
      <c r="G15" s="4"/>
      <c r="H15" s="4">
        <v>1279</v>
      </c>
      <c r="I15" s="4">
        <v>1286</v>
      </c>
      <c r="J15" s="4">
        <v>1280</v>
      </c>
      <c r="K15" s="4">
        <v>1284</v>
      </c>
      <c r="L15" s="4">
        <v>1273</v>
      </c>
      <c r="M15" s="4">
        <v>1309</v>
      </c>
      <c r="N15" s="4">
        <v>1275</v>
      </c>
      <c r="O15" s="2">
        <v>1260</v>
      </c>
    </row>
    <row r="17" spans="2:16" s="6" customFormat="1" x14ac:dyDescent="0.2">
      <c r="B17" s="6" t="s">
        <v>8</v>
      </c>
      <c r="C17" s="7"/>
      <c r="D17" s="7"/>
      <c r="E17" s="7"/>
      <c r="F17" s="7"/>
      <c r="G17" s="7">
        <v>8823</v>
      </c>
      <c r="H17" s="7">
        <f t="shared" ref="H17:O17" si="2">SUM(H13:H15)</f>
        <v>9230</v>
      </c>
      <c r="I17" s="7">
        <f t="shared" si="2"/>
        <v>9292</v>
      </c>
      <c r="J17" s="7">
        <f t="shared" si="2"/>
        <v>9936</v>
      </c>
      <c r="K17" s="7">
        <f t="shared" si="2"/>
        <v>10131</v>
      </c>
      <c r="L17" s="7">
        <f t="shared" si="2"/>
        <v>10700</v>
      </c>
      <c r="M17" s="7">
        <f t="shared" si="2"/>
        <v>11188</v>
      </c>
      <c r="N17" s="7">
        <f t="shared" si="2"/>
        <v>11959</v>
      </c>
      <c r="O17" s="7">
        <f t="shared" si="2"/>
        <v>11533</v>
      </c>
      <c r="P17" s="7">
        <f>+P5*0.27</f>
        <v>12555</v>
      </c>
    </row>
    <row r="18" spans="2:16" s="2" customFormat="1" x14ac:dyDescent="0.2">
      <c r="B18" s="2" t="s">
        <v>25</v>
      </c>
      <c r="C18" s="4"/>
      <c r="D18" s="4"/>
      <c r="E18" s="4"/>
      <c r="F18" s="4"/>
      <c r="G18" s="4">
        <v>5259</v>
      </c>
      <c r="H18" s="4">
        <v>5515</v>
      </c>
      <c r="I18" s="4">
        <v>5626</v>
      </c>
      <c r="J18" s="4">
        <v>6057</v>
      </c>
      <c r="K18" s="4">
        <v>6168</v>
      </c>
      <c r="L18" s="4">
        <v>6488</v>
      </c>
      <c r="M18" s="4">
        <v>6761</v>
      </c>
      <c r="N18" s="4">
        <v>7234</v>
      </c>
      <c r="O18" s="2">
        <v>6937</v>
      </c>
      <c r="P18" s="2">
        <f>+P17-P19</f>
        <v>7533</v>
      </c>
    </row>
    <row r="19" spans="2:16" s="2" customFormat="1" x14ac:dyDescent="0.2">
      <c r="B19" s="2" t="s">
        <v>26</v>
      </c>
      <c r="C19" s="4"/>
      <c r="D19" s="4"/>
      <c r="E19" s="4"/>
      <c r="F19" s="4"/>
      <c r="G19" s="4">
        <f t="shared" ref="G19:N19" si="3">+G17-G18</f>
        <v>3564</v>
      </c>
      <c r="H19" s="4">
        <f t="shared" si="3"/>
        <v>3715</v>
      </c>
      <c r="I19" s="4">
        <f t="shared" si="3"/>
        <v>3666</v>
      </c>
      <c r="J19" s="4">
        <f t="shared" si="3"/>
        <v>3879</v>
      </c>
      <c r="K19" s="4">
        <f t="shared" si="3"/>
        <v>3963</v>
      </c>
      <c r="L19" s="4">
        <f t="shared" si="3"/>
        <v>4212</v>
      </c>
      <c r="M19" s="4">
        <f t="shared" si="3"/>
        <v>4427</v>
      </c>
      <c r="N19" s="4">
        <f t="shared" si="3"/>
        <v>4725</v>
      </c>
      <c r="O19" s="2">
        <f>+O17-O18</f>
        <v>4596</v>
      </c>
      <c r="P19" s="2">
        <f>+P17*0.4</f>
        <v>5022</v>
      </c>
    </row>
    <row r="20" spans="2:16" s="2" customFormat="1" x14ac:dyDescent="0.2">
      <c r="B20" s="2" t="s">
        <v>24</v>
      </c>
      <c r="C20" s="4"/>
      <c r="D20" s="4"/>
      <c r="E20" s="4"/>
      <c r="F20" s="4"/>
      <c r="G20" s="4">
        <v>640</v>
      </c>
      <c r="H20" s="4">
        <v>664</v>
      </c>
      <c r="I20" s="4">
        <v>683</v>
      </c>
      <c r="J20" s="4">
        <v>702</v>
      </c>
      <c r="K20" s="4">
        <v>685</v>
      </c>
      <c r="L20" s="4">
        <v>682</v>
      </c>
      <c r="M20" s="4">
        <v>687</v>
      </c>
      <c r="N20" s="4">
        <v>678</v>
      </c>
      <c r="O20" s="2">
        <v>668</v>
      </c>
      <c r="P20" s="2">
        <f>+L20</f>
        <v>682</v>
      </c>
    </row>
    <row r="21" spans="2:16" s="2" customFormat="1" x14ac:dyDescent="0.2">
      <c r="B21" s="2" t="s">
        <v>23</v>
      </c>
      <c r="C21" s="4"/>
      <c r="D21" s="4"/>
      <c r="E21" s="4"/>
      <c r="F21" s="4"/>
      <c r="G21" s="4">
        <v>1262</v>
      </c>
      <c r="H21" s="4">
        <v>808</v>
      </c>
      <c r="I21" s="4">
        <v>941</v>
      </c>
      <c r="J21" s="4">
        <v>935</v>
      </c>
      <c r="K21" s="4">
        <v>917</v>
      </c>
      <c r="L21" s="4">
        <v>1115</v>
      </c>
      <c r="M21" s="4">
        <v>1096</v>
      </c>
      <c r="N21" s="4">
        <v>1209</v>
      </c>
      <c r="O21" s="2">
        <v>1057</v>
      </c>
      <c r="P21" s="2">
        <f>+L21</f>
        <v>1115</v>
      </c>
    </row>
    <row r="22" spans="2:16" s="2" customFormat="1" x14ac:dyDescent="0.2">
      <c r="B22" s="2" t="s">
        <v>27</v>
      </c>
      <c r="C22" s="4"/>
      <c r="D22" s="4"/>
      <c r="E22" s="4"/>
      <c r="F22" s="4"/>
      <c r="G22" s="4">
        <v>775</v>
      </c>
      <c r="H22" s="4">
        <v>491</v>
      </c>
      <c r="I22" s="4">
        <v>797</v>
      </c>
      <c r="J22" s="4">
        <v>784</v>
      </c>
      <c r="K22" s="4">
        <v>790</v>
      </c>
      <c r="L22" s="4">
        <v>760</v>
      </c>
      <c r="M22" s="4">
        <v>774</v>
      </c>
      <c r="N22" s="4">
        <v>785</v>
      </c>
      <c r="O22" s="2">
        <v>815</v>
      </c>
      <c r="P22" s="2">
        <f>+O22</f>
        <v>815</v>
      </c>
    </row>
    <row r="23" spans="2:16" s="2" customFormat="1" x14ac:dyDescent="0.2">
      <c r="B23" s="2" t="s">
        <v>22</v>
      </c>
      <c r="C23" s="4"/>
      <c r="D23" s="4"/>
      <c r="E23" s="4"/>
      <c r="F23" s="4"/>
      <c r="G23" s="4">
        <v>942</v>
      </c>
      <c r="H23" s="4">
        <v>208</v>
      </c>
      <c r="I23" s="4">
        <v>646</v>
      </c>
      <c r="J23" s="4">
        <v>603</v>
      </c>
      <c r="K23" s="4">
        <v>1209</v>
      </c>
      <c r="L23" s="4">
        <v>686</v>
      </c>
      <c r="M23" s="4">
        <v>630</v>
      </c>
      <c r="N23" s="4">
        <v>1114</v>
      </c>
      <c r="O23" s="2">
        <v>657</v>
      </c>
      <c r="P23" s="2">
        <f>+L23</f>
        <v>686</v>
      </c>
    </row>
    <row r="24" spans="2:16" s="2" customFormat="1" x14ac:dyDescent="0.2">
      <c r="B24" s="2" t="s">
        <v>21</v>
      </c>
      <c r="C24" s="4"/>
      <c r="D24" s="4"/>
      <c r="E24" s="4"/>
      <c r="F24" s="4"/>
      <c r="G24" s="4">
        <f t="shared" ref="G24:O24" si="4">SUM(G20:G23)</f>
        <v>3619</v>
      </c>
      <c r="H24" s="4">
        <f t="shared" si="4"/>
        <v>2171</v>
      </c>
      <c r="I24" s="4">
        <f t="shared" si="4"/>
        <v>3067</v>
      </c>
      <c r="J24" s="4">
        <f t="shared" si="4"/>
        <v>3024</v>
      </c>
      <c r="K24" s="4">
        <f t="shared" si="4"/>
        <v>3601</v>
      </c>
      <c r="L24" s="4">
        <f t="shared" si="4"/>
        <v>3243</v>
      </c>
      <c r="M24" s="4">
        <f t="shared" si="4"/>
        <v>3187</v>
      </c>
      <c r="N24" s="4">
        <f t="shared" si="4"/>
        <v>3786</v>
      </c>
      <c r="O24" s="4">
        <f t="shared" si="4"/>
        <v>3197</v>
      </c>
      <c r="P24" s="4">
        <f t="shared" ref="P24" si="5">SUM(P20:P23)</f>
        <v>3298</v>
      </c>
    </row>
    <row r="25" spans="2:16" s="2" customFormat="1" x14ac:dyDescent="0.2">
      <c r="B25" s="2" t="s">
        <v>20</v>
      </c>
      <c r="C25" s="4"/>
      <c r="D25" s="4"/>
      <c r="E25" s="4"/>
      <c r="F25" s="4"/>
      <c r="G25" s="4">
        <f t="shared" ref="G25:O25" si="6">+G19-G24</f>
        <v>-55</v>
      </c>
      <c r="H25" s="4">
        <f t="shared" si="6"/>
        <v>1544</v>
      </c>
      <c r="I25" s="4">
        <f t="shared" si="6"/>
        <v>599</v>
      </c>
      <c r="J25" s="4">
        <f t="shared" si="6"/>
        <v>855</v>
      </c>
      <c r="K25" s="4">
        <f t="shared" si="6"/>
        <v>362</v>
      </c>
      <c r="L25" s="4">
        <f t="shared" si="6"/>
        <v>969</v>
      </c>
      <c r="M25" s="4">
        <f t="shared" si="6"/>
        <v>1240</v>
      </c>
      <c r="N25" s="4">
        <f t="shared" si="6"/>
        <v>939</v>
      </c>
      <c r="O25" s="4">
        <f t="shared" si="6"/>
        <v>1399</v>
      </c>
      <c r="P25" s="4">
        <f t="shared" ref="P25" si="7">+P19-P24</f>
        <v>1724</v>
      </c>
    </row>
    <row r="26" spans="2:16" s="2" customFormat="1" x14ac:dyDescent="0.2">
      <c r="B26" s="2" t="s">
        <v>29</v>
      </c>
      <c r="C26" s="4"/>
      <c r="D26" s="4"/>
      <c r="E26" s="4"/>
      <c r="F26" s="4"/>
      <c r="G26" s="4">
        <f>-168+292</f>
        <v>124</v>
      </c>
      <c r="H26" s="4">
        <f>-144+273</f>
        <v>129</v>
      </c>
      <c r="I26" s="4">
        <f>-166-52</f>
        <v>-218</v>
      </c>
      <c r="J26" s="4">
        <f>-155+1331</f>
        <v>1176</v>
      </c>
      <c r="K26" s="4">
        <f>-124-678</f>
        <v>-802</v>
      </c>
      <c r="L26" s="4">
        <f>-136+420</f>
        <v>284</v>
      </c>
      <c r="M26" s="4">
        <f>-143+1851</f>
        <v>1708</v>
      </c>
      <c r="N26" s="4">
        <f>-117+256</f>
        <v>139</v>
      </c>
      <c r="O26" s="2">
        <f>-105+262</f>
        <v>157</v>
      </c>
      <c r="P26" s="2">
        <f>-105+262</f>
        <v>157</v>
      </c>
    </row>
    <row r="27" spans="2:16" x14ac:dyDescent="0.2">
      <c r="B27" s="2" t="s">
        <v>28</v>
      </c>
      <c r="G27" s="4">
        <f t="shared" ref="G27:P27" si="8">+G26+G25</f>
        <v>69</v>
      </c>
      <c r="H27" s="4">
        <f t="shared" si="8"/>
        <v>1673</v>
      </c>
      <c r="I27" s="4">
        <f t="shared" si="8"/>
        <v>381</v>
      </c>
      <c r="J27" s="4">
        <f t="shared" si="8"/>
        <v>2031</v>
      </c>
      <c r="K27" s="4">
        <f t="shared" si="8"/>
        <v>-440</v>
      </c>
      <c r="L27" s="4">
        <f t="shared" si="8"/>
        <v>1253</v>
      </c>
      <c r="M27" s="4">
        <f t="shared" si="8"/>
        <v>2948</v>
      </c>
      <c r="N27" s="4">
        <f t="shared" si="8"/>
        <v>1078</v>
      </c>
      <c r="O27" s="4">
        <f t="shared" si="8"/>
        <v>1556</v>
      </c>
      <c r="P27" s="4">
        <f t="shared" si="8"/>
        <v>1881</v>
      </c>
    </row>
    <row r="28" spans="2:16" s="2" customFormat="1" x14ac:dyDescent="0.2">
      <c r="B28" s="2" t="s">
        <v>30</v>
      </c>
      <c r="C28" s="4"/>
      <c r="D28" s="4"/>
      <c r="E28" s="4"/>
      <c r="F28" s="4"/>
      <c r="G28" s="4">
        <f>55-36</f>
        <v>19</v>
      </c>
      <c r="H28" s="4">
        <f>65-4</f>
        <v>61</v>
      </c>
      <c r="I28" s="4">
        <f>-40+3-2</f>
        <v>-39</v>
      </c>
      <c r="J28" s="4">
        <v>133</v>
      </c>
      <c r="K28" s="4">
        <f>29+4-9</f>
        <v>24</v>
      </c>
      <c r="L28" s="4">
        <f>57+12-7</f>
        <v>62</v>
      </c>
      <c r="M28" s="4">
        <f>158-12+13</f>
        <v>159</v>
      </c>
      <c r="N28" s="4">
        <f>+N27*0.2</f>
        <v>215.60000000000002</v>
      </c>
      <c r="O28" s="2">
        <v>0</v>
      </c>
      <c r="P28" s="2">
        <f>+P27*0.2</f>
        <v>376.20000000000005</v>
      </c>
    </row>
    <row r="29" spans="2:16" x14ac:dyDescent="0.2">
      <c r="B29" s="2" t="s">
        <v>31</v>
      </c>
      <c r="G29" s="4">
        <f t="shared" ref="G29:P29" si="9">+G27-G28</f>
        <v>50</v>
      </c>
      <c r="H29" s="4">
        <f t="shared" si="9"/>
        <v>1612</v>
      </c>
      <c r="I29" s="4">
        <f t="shared" si="9"/>
        <v>420</v>
      </c>
      <c r="J29" s="4">
        <f t="shared" si="9"/>
        <v>1898</v>
      </c>
      <c r="K29" s="4">
        <f t="shared" si="9"/>
        <v>-464</v>
      </c>
      <c r="L29" s="4">
        <f t="shared" si="9"/>
        <v>1191</v>
      </c>
      <c r="M29" s="4">
        <f t="shared" si="9"/>
        <v>2789</v>
      </c>
      <c r="N29" s="4">
        <f t="shared" si="9"/>
        <v>862.4</v>
      </c>
      <c r="O29" s="4">
        <f t="shared" si="9"/>
        <v>1556</v>
      </c>
      <c r="P29" s="4">
        <f t="shared" si="9"/>
        <v>1504.8</v>
      </c>
    </row>
    <row r="30" spans="2:16" x14ac:dyDescent="0.2">
      <c r="B30" s="2" t="s">
        <v>32</v>
      </c>
      <c r="G30" s="5">
        <f t="shared" ref="G30:P30" si="10">+G29/G31</f>
        <v>2.4881105636714956E-2</v>
      </c>
      <c r="H30" s="5">
        <f t="shared" si="10"/>
        <v>0.77527395497928364</v>
      </c>
      <c r="I30" s="5">
        <f t="shared" si="10"/>
        <v>0.19919572355238066</v>
      </c>
      <c r="J30" s="5">
        <f t="shared" si="10"/>
        <v>0.89446913633773795</v>
      </c>
      <c r="K30" s="5">
        <f t="shared" si="10"/>
        <v>-0.22305890678060616</v>
      </c>
      <c r="L30" s="5">
        <f t="shared" si="10"/>
        <v>0.55394859301243393</v>
      </c>
      <c r="M30" s="5">
        <f t="shared" si="10"/>
        <v>1.2945203126900124</v>
      </c>
      <c r="N30" s="5">
        <f t="shared" si="10"/>
        <v>0.40272229813217919</v>
      </c>
      <c r="O30" s="5">
        <f t="shared" si="10"/>
        <v>0.73305700790250528</v>
      </c>
      <c r="P30" s="5">
        <f t="shared" si="10"/>
        <v>0.70893585185841257</v>
      </c>
    </row>
    <row r="31" spans="2:16" x14ac:dyDescent="0.2">
      <c r="B31" s="2" t="s">
        <v>1</v>
      </c>
      <c r="G31" s="4">
        <v>2009.557</v>
      </c>
      <c r="H31" s="4">
        <v>2079.2649999999999</v>
      </c>
      <c r="I31" s="4">
        <v>2108.4789999999998</v>
      </c>
      <c r="J31" s="4">
        <v>2121.9290000000001</v>
      </c>
      <c r="K31" s="4">
        <v>2080.1680000000001</v>
      </c>
      <c r="L31" s="4">
        <v>2150.0189999999998</v>
      </c>
      <c r="M31" s="4">
        <v>2154.4659999999999</v>
      </c>
      <c r="N31" s="4">
        <v>2141.4259999999999</v>
      </c>
      <c r="O31" s="4">
        <v>2122.6179999999999</v>
      </c>
      <c r="P31" s="2">
        <f>+O31</f>
        <v>2122.6179999999999</v>
      </c>
    </row>
    <row r="33" spans="2:18" s="12" customFormat="1" x14ac:dyDescent="0.2">
      <c r="B33" s="6" t="s">
        <v>33</v>
      </c>
      <c r="C33" s="10"/>
      <c r="D33" s="10"/>
      <c r="E33" s="10"/>
      <c r="F33" s="10"/>
      <c r="G33" s="10"/>
      <c r="H33" s="10"/>
      <c r="I33" s="10"/>
      <c r="J33" s="10"/>
      <c r="K33" s="11">
        <f t="shared" ref="K33:R33" si="11">+K17/G17-1</f>
        <v>0.14824889493369597</v>
      </c>
      <c r="L33" s="11">
        <f t="shared" si="11"/>
        <v>0.15926327193932832</v>
      </c>
      <c r="M33" s="11">
        <f t="shared" si="11"/>
        <v>0.20404649160568233</v>
      </c>
      <c r="N33" s="11">
        <f t="shared" si="11"/>
        <v>0.20360305958132052</v>
      </c>
      <c r="O33" s="11">
        <f t="shared" si="11"/>
        <v>0.13838712861514169</v>
      </c>
      <c r="P33" s="11">
        <f t="shared" si="11"/>
        <v>0.17336448598130838</v>
      </c>
      <c r="Q33" s="11"/>
      <c r="R33" s="11"/>
    </row>
    <row r="34" spans="2:18" x14ac:dyDescent="0.2">
      <c r="B34" s="2" t="s">
        <v>52</v>
      </c>
      <c r="K34" s="8"/>
      <c r="L34" s="8"/>
      <c r="M34" s="8">
        <f>+M5/I5-1</f>
        <v>0.16133329554150966</v>
      </c>
      <c r="N34" s="8">
        <f>+N5/J5-1</f>
        <v>0.17623419827012632</v>
      </c>
      <c r="O34" s="8">
        <f>+O5/K5-1</f>
        <v>0.13723407080821226</v>
      </c>
      <c r="P34" s="8">
        <f>+P5/L5-1</f>
        <v>0.16380928544612683</v>
      </c>
    </row>
    <row r="35" spans="2:18" x14ac:dyDescent="0.2">
      <c r="B35" s="2" t="s">
        <v>53</v>
      </c>
      <c r="M35" s="8">
        <f>+M9/I9-1</f>
        <v>0.17492830807046289</v>
      </c>
      <c r="N35" s="8">
        <f>+N9/J9-1</f>
        <v>0.17954632833525563</v>
      </c>
      <c r="O35" s="8">
        <f>+O9/K9-1</f>
        <v>0.1804043545878693</v>
      </c>
      <c r="P35" s="8"/>
    </row>
    <row r="36" spans="2:18" x14ac:dyDescent="0.2">
      <c r="B36" s="2" t="s">
        <v>54</v>
      </c>
      <c r="M36" s="8">
        <f>+M6/I6-1</f>
        <v>0.17309948053398871</v>
      </c>
      <c r="N36" s="8">
        <f>+N6/J6-1</f>
        <v>0.18216230230749297</v>
      </c>
      <c r="O36" s="8">
        <f>+O6/K6-1</f>
        <v>0.13454740224959827</v>
      </c>
      <c r="P36" s="8"/>
    </row>
    <row r="37" spans="2:18" x14ac:dyDescent="0.2">
      <c r="B37" s="2" t="s">
        <v>55</v>
      </c>
      <c r="M37" s="8">
        <f>+M13/I13-1</f>
        <v>0.26385328337605984</v>
      </c>
      <c r="N37" s="8">
        <f>+N13/J13-1</f>
        <v>0.24814881704894343</v>
      </c>
      <c r="O37" s="8">
        <f>+O13/K13-1</f>
        <v>0.15320433161725555</v>
      </c>
      <c r="P37" s="8"/>
    </row>
    <row r="38" spans="2:18" x14ac:dyDescent="0.2">
      <c r="B38" s="2" t="s">
        <v>56</v>
      </c>
      <c r="K38" s="8">
        <f>K13/K6</f>
        <v>0.30171397964649171</v>
      </c>
      <c r="L38" s="8">
        <f>L13/L6</f>
        <v>0.29843339495961857</v>
      </c>
      <c r="M38" s="8">
        <f>M13/M6</f>
        <v>0.30516141319874296</v>
      </c>
      <c r="N38" s="8">
        <f>N13/N6</f>
        <v>0.3031406263707343</v>
      </c>
      <c r="O38" s="8">
        <f>O13/O6</f>
        <v>0.30667547918043619</v>
      </c>
      <c r="P38" s="8"/>
    </row>
    <row r="39" spans="2:18" x14ac:dyDescent="0.2">
      <c r="B39" s="2" t="s">
        <v>88</v>
      </c>
      <c r="K39" s="13">
        <f t="shared" ref="K39:N39" si="12">K19/K17</f>
        <v>0.39117559964465504</v>
      </c>
      <c r="L39" s="13">
        <f t="shared" si="12"/>
        <v>0.39364485981308411</v>
      </c>
      <c r="M39" s="13">
        <f t="shared" si="12"/>
        <v>0.39569181265641756</v>
      </c>
      <c r="N39" s="13">
        <f t="shared" si="12"/>
        <v>0.39509992474287148</v>
      </c>
      <c r="O39" s="13">
        <f>O19/O17</f>
        <v>0.39850862741697735</v>
      </c>
    </row>
    <row r="41" spans="2:18" s="2" customFormat="1" x14ac:dyDescent="0.2">
      <c r="B41" s="2" t="s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2">
        <f>5893+1084+545+2172+7019+8460+302</f>
        <v>25475</v>
      </c>
      <c r="O41" s="2">
        <f>5132+894+1253+2215+7371+8746+338</f>
        <v>25949</v>
      </c>
    </row>
    <row r="42" spans="2:18" s="2" customFormat="1" x14ac:dyDescent="0.2">
      <c r="B42" s="2" t="s">
        <v>57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2">
        <v>3333</v>
      </c>
      <c r="O42" s="2">
        <v>3489</v>
      </c>
    </row>
    <row r="43" spans="2:18" s="2" customFormat="1" x14ac:dyDescent="0.2">
      <c r="B43" s="2" t="s">
        <v>58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">
        <v>1390</v>
      </c>
      <c r="O43" s="2">
        <v>1582</v>
      </c>
    </row>
    <row r="44" spans="2:18" s="2" customFormat="1" x14ac:dyDescent="0.2">
      <c r="B44" s="2" t="s">
        <v>59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">
        <v>1952</v>
      </c>
      <c r="O44" s="2">
        <v>1941</v>
      </c>
    </row>
    <row r="45" spans="2:18" s="2" customFormat="1" x14ac:dyDescent="0.2">
      <c r="B45" s="2" t="s">
        <v>60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2">
        <v>1158</v>
      </c>
      <c r="O45" s="2">
        <v>1162</v>
      </c>
    </row>
    <row r="46" spans="2:18" s="2" customFormat="1" x14ac:dyDescent="0.2">
      <c r="B46" s="2" t="s">
        <v>61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2">
        <f>1125+8066</f>
        <v>9191</v>
      </c>
      <c r="O46" s="2">
        <f>1065+8069</f>
        <v>9134</v>
      </c>
    </row>
    <row r="47" spans="2:18" s="2" customFormat="1" x14ac:dyDescent="0.2">
      <c r="B47" s="2" t="s">
        <v>62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2">
        <v>6171</v>
      </c>
      <c r="O47" s="2">
        <v>6592</v>
      </c>
    </row>
    <row r="48" spans="2:18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2">
        <v>2574</v>
      </c>
      <c r="O48" s="2">
        <v>2973</v>
      </c>
    </row>
    <row r="49" spans="2:15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">
        <f>SUM(N41:N48)</f>
        <v>51244</v>
      </c>
      <c r="O49" s="2">
        <f>SUM(O41:O48)</f>
        <v>52822</v>
      </c>
    </row>
    <row r="51" spans="2:15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2">
        <v>858</v>
      </c>
      <c r="O51" s="2">
        <v>873</v>
      </c>
    </row>
    <row r="52" spans="2:15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">
        <f>2754+7042</f>
        <v>9796</v>
      </c>
      <c r="O52" s="2">
        <f>2873+7599</f>
        <v>10472</v>
      </c>
    </row>
    <row r="53" spans="2:15" s="2" customFormat="1" x14ac:dyDescent="0.2">
      <c r="B53" s="2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">
        <f>175+1454</f>
        <v>1629</v>
      </c>
      <c r="O53" s="2">
        <f>177+1447</f>
        <v>1624</v>
      </c>
    </row>
    <row r="54" spans="2:15" s="2" customFormat="1" x14ac:dyDescent="0.2">
      <c r="B54" s="2" t="s">
        <v>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">
        <v>7689</v>
      </c>
      <c r="O54" s="2">
        <v>8190</v>
      </c>
    </row>
    <row r="55" spans="2:15" s="2" customFormat="1" x14ac:dyDescent="0.2">
      <c r="B55" s="2" t="s">
        <v>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2">
        <v>8347</v>
      </c>
      <c r="O55" s="2">
        <v>8350</v>
      </c>
    </row>
    <row r="56" spans="2:15" s="2" customFormat="1" x14ac:dyDescent="0.2">
      <c r="B56" s="2" t="s">
        <v>68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2">
        <v>449</v>
      </c>
      <c r="O56" s="2">
        <v>408</v>
      </c>
    </row>
    <row r="57" spans="2:15" s="2" customFormat="1" x14ac:dyDescent="0.2">
      <c r="B57" s="2" t="s">
        <v>69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2">
        <f>93+22383</f>
        <v>22476</v>
      </c>
      <c r="O57" s="2">
        <f>22812+93</f>
        <v>22905</v>
      </c>
    </row>
    <row r="58" spans="2:15" s="2" customFormat="1" x14ac:dyDescent="0.2">
      <c r="B58" s="2" t="s">
        <v>70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2">
        <f>SUM(N51:N57)</f>
        <v>51244</v>
      </c>
      <c r="O58" s="2">
        <f>SUM(O51:O57)</f>
        <v>52822</v>
      </c>
    </row>
    <row r="60" spans="2:15" s="2" customFormat="1" x14ac:dyDescent="0.2">
      <c r="B60" s="2" t="s">
        <v>71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2">
        <f>+N29</f>
        <v>862.4</v>
      </c>
      <c r="O60" s="2">
        <f>+O29</f>
        <v>1556</v>
      </c>
    </row>
    <row r="61" spans="2:15" s="2" customFormat="1" x14ac:dyDescent="0.2">
      <c r="B61" s="2" t="s">
        <v>72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6901</v>
      </c>
      <c r="O61" s="2">
        <v>1774</v>
      </c>
    </row>
    <row r="62" spans="2:15" s="2" customFormat="1" x14ac:dyDescent="0.2">
      <c r="B62" s="2" t="s">
        <v>75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>
        <v>176</v>
      </c>
      <c r="O62" s="2">
        <v>178</v>
      </c>
    </row>
    <row r="63" spans="2:15" s="2" customFormat="1" x14ac:dyDescent="0.2">
      <c r="B63" s="2" t="s">
        <v>90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14</v>
      </c>
      <c r="O63" s="2">
        <v>0</v>
      </c>
    </row>
    <row r="64" spans="2:15" s="2" customFormat="1" x14ac:dyDescent="0.2">
      <c r="B64" s="2" t="s">
        <v>76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>
        <v>419</v>
      </c>
      <c r="O64" s="2">
        <v>435</v>
      </c>
    </row>
    <row r="65" spans="2:15" s="2" customFormat="1" x14ac:dyDescent="0.2">
      <c r="B65" s="2" t="s">
        <v>77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-6128</v>
      </c>
      <c r="O65" s="2">
        <v>-412</v>
      </c>
    </row>
    <row r="66" spans="2:15" s="2" customFormat="1" x14ac:dyDescent="0.2">
      <c r="B66" s="2" t="s">
        <v>78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>
        <f>-62+10-556</f>
        <v>-608</v>
      </c>
      <c r="O66" s="2">
        <v>-51</v>
      </c>
    </row>
    <row r="67" spans="2:15" s="2" customFormat="1" x14ac:dyDescent="0.2">
      <c r="B67" s="2" t="s">
        <v>79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>
        <v>135</v>
      </c>
      <c r="O67" s="2">
        <v>-51</v>
      </c>
    </row>
    <row r="68" spans="2:15" s="2" customFormat="1" x14ac:dyDescent="0.2">
      <c r="B68" s="2" t="s">
        <v>63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>
        <v>68</v>
      </c>
      <c r="O68" s="2">
        <v>-27</v>
      </c>
    </row>
    <row r="69" spans="2:15" s="2" customFormat="1" x14ac:dyDescent="0.2">
      <c r="B69" s="2" t="s">
        <v>74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f>246-30+59+62+658-158-64</f>
        <v>773</v>
      </c>
      <c r="O69" s="2">
        <f>-123-497+43+6+675+430-56</f>
        <v>478</v>
      </c>
    </row>
    <row r="70" spans="2:15" s="2" customFormat="1" x14ac:dyDescent="0.2">
      <c r="B70" s="2" t="s">
        <v>73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2">
        <f>SUM(N61:N69)</f>
        <v>1750</v>
      </c>
      <c r="O70" s="2">
        <f>SUM(O61:O69)</f>
        <v>2324</v>
      </c>
    </row>
    <row r="72" spans="2:15" x14ac:dyDescent="0.2">
      <c r="B72" s="2" t="s">
        <v>81</v>
      </c>
      <c r="N72" s="3">
        <v>-44</v>
      </c>
      <c r="O72" s="2">
        <v>-74</v>
      </c>
    </row>
    <row r="73" spans="2:15" x14ac:dyDescent="0.2">
      <c r="B73" s="2" t="s">
        <v>82</v>
      </c>
      <c r="N73" s="3">
        <f>-1-3020+4437</f>
        <v>1416</v>
      </c>
      <c r="O73" s="2">
        <f>-179-2540+2397</f>
        <v>-322</v>
      </c>
    </row>
    <row r="74" spans="2:15" x14ac:dyDescent="0.2">
      <c r="B74" s="2" t="s">
        <v>63</v>
      </c>
      <c r="N74" s="3">
        <v>61</v>
      </c>
      <c r="O74" s="2">
        <v>-146</v>
      </c>
    </row>
    <row r="75" spans="2:15" x14ac:dyDescent="0.2">
      <c r="B75" t="s">
        <v>80</v>
      </c>
      <c r="N75" s="2">
        <f>SUM(N72:N74)</f>
        <v>1433</v>
      </c>
      <c r="O75" s="2">
        <f>SUM(O72:O74)</f>
        <v>-542</v>
      </c>
    </row>
    <row r="76" spans="2:15" x14ac:dyDescent="0.2">
      <c r="O76" s="2"/>
    </row>
    <row r="77" spans="2:15" x14ac:dyDescent="0.2">
      <c r="B77" s="2" t="s">
        <v>91</v>
      </c>
      <c r="N77" s="3">
        <v>53</v>
      </c>
      <c r="O77" s="2">
        <v>0</v>
      </c>
    </row>
    <row r="78" spans="2:15" x14ac:dyDescent="0.2">
      <c r="B78" s="2" t="s">
        <v>83</v>
      </c>
      <c r="N78" s="2">
        <v>-50</v>
      </c>
      <c r="O78" s="2">
        <v>-47</v>
      </c>
    </row>
    <row r="79" spans="2:15" x14ac:dyDescent="0.2">
      <c r="B79" s="2" t="s">
        <v>93</v>
      </c>
      <c r="N79" s="2">
        <v>-2000</v>
      </c>
      <c r="O79" s="2">
        <v>0</v>
      </c>
    </row>
    <row r="80" spans="2:15" x14ac:dyDescent="0.2">
      <c r="B80" s="2" t="s">
        <v>84</v>
      </c>
      <c r="N80" s="2">
        <v>-555</v>
      </c>
      <c r="O80" s="2">
        <v>-1785</v>
      </c>
    </row>
    <row r="81" spans="2:15" x14ac:dyDescent="0.2">
      <c r="B81" s="2" t="s">
        <v>92</v>
      </c>
      <c r="N81" s="2">
        <v>-851</v>
      </c>
      <c r="O81" s="2">
        <v>0</v>
      </c>
    </row>
    <row r="82" spans="2:15" x14ac:dyDescent="0.2">
      <c r="B82" s="2" t="s">
        <v>63</v>
      </c>
      <c r="N82" s="2">
        <v>6</v>
      </c>
      <c r="O82" s="2">
        <v>-30</v>
      </c>
    </row>
    <row r="83" spans="2:15" x14ac:dyDescent="0.2">
      <c r="B83" s="2" t="s">
        <v>85</v>
      </c>
      <c r="N83" s="2">
        <f>SUM(N77:N82)</f>
        <v>-3397</v>
      </c>
      <c r="O83" s="2">
        <f>SUM(O77:O82)</f>
        <v>-1862</v>
      </c>
    </row>
    <row r="84" spans="2:15" x14ac:dyDescent="0.2">
      <c r="B84" s="2" t="s">
        <v>87</v>
      </c>
      <c r="N84" s="2">
        <v>-179</v>
      </c>
      <c r="O84" s="2">
        <v>70</v>
      </c>
    </row>
    <row r="85" spans="2:15" x14ac:dyDescent="0.2">
      <c r="B85" s="2" t="s">
        <v>86</v>
      </c>
      <c r="N85" s="2">
        <f>+N84+N83+N75+N70</f>
        <v>-393</v>
      </c>
      <c r="O85" s="2">
        <f>+O84+O83+O75+O70</f>
        <v>-10</v>
      </c>
    </row>
    <row r="88" spans="2:15" x14ac:dyDescent="0.2">
      <c r="B88" s="2" t="s">
        <v>89</v>
      </c>
      <c r="N88" s="2">
        <f>+N70+N72</f>
        <v>1706</v>
      </c>
      <c r="O88" s="2">
        <f>+O70+O72</f>
        <v>2250</v>
      </c>
    </row>
  </sheetData>
  <hyperlinks>
    <hyperlink ref="A1" location="Main!A1" display="Main" xr:uid="{97C91947-3928-45E1-B0A0-1313631C12C4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2025-02-02T01:50:14Z</dcterms:created>
  <dcterms:modified xsi:type="dcterms:W3CDTF">2025-10-16T16:59:59Z</dcterms:modified>
</cp:coreProperties>
</file>