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8BA8EB2B-F80F-4E3C-A958-2F4469C53A41}" xr6:coauthVersionLast="47" xr6:coauthVersionMax="47" xr10:uidLastSave="{00000000-0000-0000-0000-000000000000}"/>
  <bookViews>
    <workbookView xWindow="4875" yWindow="4875" windowWidth="18075" windowHeight="16020" activeTab="1" xr2:uid="{78B1E967-2DB4-4F84-85C7-CF437E9BDEE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AA7" i="2"/>
  <c r="AE8" i="2"/>
  <c r="AD8" i="2"/>
  <c r="AC8" i="2"/>
  <c r="AB8" i="2"/>
  <c r="AA8" i="2"/>
  <c r="Z8" i="2"/>
  <c r="Y8" i="2"/>
  <c r="X8" i="2"/>
  <c r="W8" i="2"/>
  <c r="V8" i="2"/>
  <c r="U8" i="2"/>
  <c r="U12" i="2"/>
  <c r="AE21" i="2"/>
  <c r="AD21" i="2"/>
  <c r="AC21" i="2"/>
  <c r="AB21" i="2"/>
  <c r="AA21" i="2"/>
  <c r="Z21" i="2"/>
  <c r="Y21" i="2"/>
  <c r="X21" i="2"/>
  <c r="W21" i="2"/>
  <c r="V21" i="2"/>
  <c r="U21" i="2"/>
  <c r="AE19" i="2"/>
  <c r="AD19" i="2"/>
  <c r="AC19" i="2"/>
  <c r="AB19" i="2"/>
  <c r="AA19" i="2"/>
  <c r="Z19" i="2"/>
  <c r="Y19" i="2"/>
  <c r="X19" i="2"/>
  <c r="W19" i="2"/>
  <c r="V19" i="2"/>
  <c r="U19" i="2"/>
  <c r="V10" i="2"/>
  <c r="W10" i="2" s="1"/>
  <c r="X10" i="2" s="1"/>
  <c r="Y10" i="2" s="1"/>
  <c r="Z10" i="2" s="1"/>
  <c r="AA10" i="2" s="1"/>
  <c r="AB10" i="2" s="1"/>
  <c r="AC10" i="2" s="1"/>
  <c r="U10" i="2"/>
  <c r="U11" i="2" s="1"/>
  <c r="AE9" i="2"/>
  <c r="AD9" i="2"/>
  <c r="AC9" i="2"/>
  <c r="AB9" i="2"/>
  <c r="AA9" i="2"/>
  <c r="Z9" i="2"/>
  <c r="Y9" i="2"/>
  <c r="X9" i="2"/>
  <c r="W9" i="2"/>
  <c r="V9" i="2"/>
  <c r="U9" i="2"/>
  <c r="AE2" i="2"/>
  <c r="AE7" i="2"/>
  <c r="AD7" i="2"/>
  <c r="AC7" i="2"/>
  <c r="AB7" i="2"/>
  <c r="Z7" i="2"/>
  <c r="Y7" i="2"/>
  <c r="X7" i="2"/>
  <c r="W7" i="2"/>
  <c r="V7" i="2"/>
  <c r="U7" i="2"/>
  <c r="AD2" i="2"/>
  <c r="AC2" i="2"/>
  <c r="AB2" i="2"/>
  <c r="AA2" i="2"/>
  <c r="Z2" i="2"/>
  <c r="Y2" i="2"/>
  <c r="X2" i="2"/>
  <c r="W2" i="2"/>
  <c r="V2" i="2"/>
  <c r="U2" i="2"/>
  <c r="T22" i="2"/>
  <c r="S22" i="2"/>
  <c r="R22" i="2"/>
  <c r="Q22" i="2"/>
  <c r="P22" i="2"/>
  <c r="O22" i="2"/>
  <c r="N22" i="2"/>
  <c r="M15" i="2"/>
  <c r="O13" i="2"/>
  <c r="O15" i="2" s="1"/>
  <c r="N13" i="2"/>
  <c r="N15" i="2" s="1"/>
  <c r="M13" i="2"/>
  <c r="M11" i="2"/>
  <c r="N11" i="2"/>
  <c r="O11" i="2"/>
  <c r="O9" i="2"/>
  <c r="O21" i="2" s="1"/>
  <c r="N9" i="2"/>
  <c r="N21" i="2" s="1"/>
  <c r="M9" i="2"/>
  <c r="P20" i="2"/>
  <c r="O20" i="2"/>
  <c r="N20" i="2"/>
  <c r="P19" i="2"/>
  <c r="O19" i="2"/>
  <c r="N19" i="2"/>
  <c r="M4" i="2"/>
  <c r="N4" i="2"/>
  <c r="O4" i="2"/>
  <c r="Q4" i="2"/>
  <c r="P4" i="2"/>
  <c r="R20" i="2"/>
  <c r="Q20" i="2"/>
  <c r="R19" i="2"/>
  <c r="Q19" i="2"/>
  <c r="P9" i="2"/>
  <c r="P11" i="2" s="1"/>
  <c r="P13" i="2" s="1"/>
  <c r="P15" i="2" s="1"/>
  <c r="Q9" i="2"/>
  <c r="Q11" i="2" s="1"/>
  <c r="Q13" i="2" s="1"/>
  <c r="Q15" i="2" s="1"/>
  <c r="T20" i="2"/>
  <c r="S20" i="2"/>
  <c r="T4" i="2"/>
  <c r="S4" i="2"/>
  <c r="R4" i="2"/>
  <c r="T48" i="2"/>
  <c r="S48" i="2"/>
  <c r="R48" i="2"/>
  <c r="S19" i="2"/>
  <c r="T19" i="2"/>
  <c r="S9" i="2"/>
  <c r="S11" i="2" s="1"/>
  <c r="S13" i="2" s="1"/>
  <c r="S15" i="2" s="1"/>
  <c r="R9" i="2"/>
  <c r="R21" i="2" s="1"/>
  <c r="T9" i="2"/>
  <c r="T11" i="2" s="1"/>
  <c r="T13" i="2" s="1"/>
  <c r="T15" i="2" s="1"/>
  <c r="I47" i="2"/>
  <c r="I46" i="2"/>
  <c r="H48" i="2"/>
  <c r="D10" i="2"/>
  <c r="D9" i="2"/>
  <c r="D11" i="2" s="1"/>
  <c r="D13" i="2" s="1"/>
  <c r="D15" i="2" s="1"/>
  <c r="D16" i="2" s="1"/>
  <c r="H10" i="2"/>
  <c r="H9" i="2"/>
  <c r="H21" i="2" s="1"/>
  <c r="L7" i="1"/>
  <c r="I39" i="2"/>
  <c r="I43" i="2" s="1"/>
  <c r="I31" i="2"/>
  <c r="I34" i="2" s="1"/>
  <c r="G13" i="2"/>
  <c r="G15" i="2" s="1"/>
  <c r="F13" i="2"/>
  <c r="F15" i="2" s="1"/>
  <c r="I10" i="2"/>
  <c r="E10" i="2"/>
  <c r="I9" i="2"/>
  <c r="I21" i="2" s="1"/>
  <c r="E9" i="2"/>
  <c r="E21" i="2" s="1"/>
  <c r="L4" i="1"/>
  <c r="U13" i="2" l="1"/>
  <c r="U14" i="2" s="1"/>
  <c r="AD10" i="2"/>
  <c r="AC11" i="2"/>
  <c r="V11" i="2"/>
  <c r="W11" i="2"/>
  <c r="X11" i="2"/>
  <c r="Y11" i="2"/>
  <c r="Z11" i="2"/>
  <c r="AA11" i="2"/>
  <c r="AB11" i="2"/>
  <c r="P21" i="2"/>
  <c r="Q21" i="2"/>
  <c r="I48" i="2"/>
  <c r="T21" i="2"/>
  <c r="R11" i="2"/>
  <c r="R13" i="2" s="1"/>
  <c r="R15" i="2" s="1"/>
  <c r="S21" i="2"/>
  <c r="D21" i="2"/>
  <c r="H11" i="2"/>
  <c r="H13" i="2" s="1"/>
  <c r="H15" i="2" s="1"/>
  <c r="H16" i="2" s="1"/>
  <c r="E11" i="2"/>
  <c r="E13" i="2" s="1"/>
  <c r="E15" i="2" s="1"/>
  <c r="E16" i="2" s="1"/>
  <c r="I11" i="2"/>
  <c r="I13" i="2" s="1"/>
  <c r="I15" i="2" s="1"/>
  <c r="I16" i="2" s="1"/>
  <c r="U15" i="2" l="1"/>
  <c r="AE10" i="2"/>
  <c r="AE11" i="2" s="1"/>
  <c r="AD11" i="2"/>
  <c r="U24" i="2" l="1"/>
  <c r="V12" i="2" s="1"/>
  <c r="V13" i="2" s="1"/>
  <c r="V14" i="2" s="1"/>
  <c r="V15" i="2" s="1"/>
  <c r="V24" i="2" s="1"/>
  <c r="W12" i="2" s="1"/>
  <c r="W13" i="2" l="1"/>
  <c r="W14" i="2" l="1"/>
  <c r="W15" i="2" s="1"/>
  <c r="W24" i="2" l="1"/>
  <c r="X12" i="2" s="1"/>
  <c r="X13" i="2"/>
  <c r="X14" i="2" l="1"/>
  <c r="X15" i="2" s="1"/>
  <c r="X24" i="2" l="1"/>
  <c r="Y12" i="2" s="1"/>
  <c r="Y13" i="2" s="1"/>
  <c r="Y14" i="2" l="1"/>
  <c r="Y15" i="2" s="1"/>
  <c r="Y24" i="2" l="1"/>
  <c r="Z12" i="2" s="1"/>
  <c r="Z13" i="2"/>
  <c r="Z14" i="2" l="1"/>
  <c r="Z15" i="2" s="1"/>
  <c r="Z24" i="2" s="1"/>
  <c r="AA12" i="2" s="1"/>
  <c r="AA13" i="2" l="1"/>
  <c r="AA14" i="2" l="1"/>
  <c r="AA15" i="2" s="1"/>
  <c r="AA24" i="2" s="1"/>
  <c r="AB12" i="2" s="1"/>
  <c r="AB13" i="2" l="1"/>
  <c r="AB14" i="2" l="1"/>
  <c r="AB15" i="2" s="1"/>
  <c r="AB24" i="2" s="1"/>
  <c r="AC12" i="2" s="1"/>
  <c r="AC13" i="2" l="1"/>
  <c r="AC14" i="2" l="1"/>
  <c r="AC15" i="2" s="1"/>
  <c r="AC24" i="2" s="1"/>
  <c r="AD12" i="2" s="1"/>
  <c r="AD13" i="2" l="1"/>
  <c r="AD14" i="2" l="1"/>
  <c r="AD15" i="2" s="1"/>
  <c r="AD24" i="2" s="1"/>
  <c r="AE12" i="2" s="1"/>
  <c r="AE13" i="2" l="1"/>
  <c r="AE14" i="2" l="1"/>
  <c r="AE15" i="2" s="1"/>
  <c r="AE24" i="2" l="1"/>
  <c r="AF15" i="2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l="1"/>
  <c r="EB15" i="2" s="1"/>
  <c r="EC15" i="2" s="1"/>
  <c r="ED15" i="2" s="1"/>
  <c r="EE15" i="2" s="1"/>
  <c r="EF15" i="2" s="1"/>
  <c r="EG15" i="2" s="1"/>
  <c r="EH15" i="2" s="1"/>
  <c r="EI15" i="2" s="1"/>
  <c r="EJ15" i="2" s="1"/>
  <c r="AH26" i="2"/>
  <c r="AH27" i="2" s="1"/>
  <c r="AH28" i="2" s="1"/>
</calcChain>
</file>

<file path=xl/sharedStrings.xml><?xml version="1.0" encoding="utf-8"?>
<sst xmlns="http://schemas.openxmlformats.org/spreadsheetml/2006/main" count="72" uniqueCount="64">
  <si>
    <t>Price</t>
  </si>
  <si>
    <t>Shares</t>
  </si>
  <si>
    <t>MC</t>
  </si>
  <si>
    <t>Cash</t>
  </si>
  <si>
    <t>Debt</t>
  </si>
  <si>
    <t>EV</t>
  </si>
  <si>
    <t>Main</t>
  </si>
  <si>
    <t>Revenue</t>
  </si>
  <si>
    <t>COGS</t>
  </si>
  <si>
    <t>Gross Profit</t>
  </si>
  <si>
    <t>SG&amp;A</t>
  </si>
  <si>
    <t>Operating Income</t>
  </si>
  <si>
    <t>Interest Income</t>
  </si>
  <si>
    <t>Pretax Income</t>
  </si>
  <si>
    <t>Taxes</t>
  </si>
  <si>
    <t>Net Income</t>
  </si>
  <si>
    <t>EPS</t>
  </si>
  <si>
    <t>Assets</t>
  </si>
  <si>
    <t>OLTA</t>
  </si>
  <si>
    <t>AR</t>
  </si>
  <si>
    <t>Inventories</t>
  </si>
  <si>
    <t>Prepaids</t>
  </si>
  <si>
    <t>PP&amp;E</t>
  </si>
  <si>
    <t>Lease</t>
  </si>
  <si>
    <t>Goodwill</t>
  </si>
  <si>
    <t>AP</t>
  </si>
  <si>
    <t>Pension</t>
  </si>
  <si>
    <t>AL</t>
  </si>
  <si>
    <t>DR</t>
  </si>
  <si>
    <t>L+SE</t>
  </si>
  <si>
    <t>SE</t>
  </si>
  <si>
    <t>OLTL</t>
  </si>
  <si>
    <t>DT</t>
  </si>
  <si>
    <t>Q224</t>
  </si>
  <si>
    <t>CFFO</t>
  </si>
  <si>
    <t>CapEx</t>
  </si>
  <si>
    <t>FCF</t>
  </si>
  <si>
    <t>1350 stores</t>
  </si>
  <si>
    <t>Gross Margin</t>
  </si>
  <si>
    <t>Founded</t>
  </si>
  <si>
    <t>Stores</t>
  </si>
  <si>
    <t>Revenue/Store</t>
  </si>
  <si>
    <t>Revenue y/y</t>
  </si>
  <si>
    <t>Stores y/y</t>
  </si>
  <si>
    <t>Rev/store y/y</t>
  </si>
  <si>
    <t>Sephora</t>
  </si>
  <si>
    <t>WW</t>
  </si>
  <si>
    <t>US</t>
  </si>
  <si>
    <t>Walgreens</t>
  </si>
  <si>
    <t>CVS</t>
  </si>
  <si>
    <t>Nordstrom's</t>
  </si>
  <si>
    <t>Discount</t>
  </si>
  <si>
    <t>ROIC</t>
  </si>
  <si>
    <t>NPV</t>
  </si>
  <si>
    <t>Terminal</t>
  </si>
  <si>
    <t>Total</t>
  </si>
  <si>
    <t>cosmetics</t>
  </si>
  <si>
    <t>skincare</t>
  </si>
  <si>
    <t>haircare</t>
  </si>
  <si>
    <t>fragrance</t>
  </si>
  <si>
    <t>services</t>
  </si>
  <si>
    <t>accessories</t>
  </si>
  <si>
    <t>Share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</si>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</sst>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;@"/>
    <numFmt numFmtId="165" formatCode="yyyy/mm/dd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3" fontId="0" fillId="0" borderId="0" xfId="0" applyNumberFormat="1"/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0" fontId="1" fillId="0" borderId="0" xfId="0" applyFont="1"/>
    <xf numFmtId="9" fontId="1" fillId="0" borderId="0" xfId="0" applyNumberFormat="1" applyFont="1"/>
    <xf numFmtId="0" fontId="0" fillId="0" borderId="1" xfId="0" applyBorder="1"/>
    <xf numFmtId="9" fontId="0" fillId="0" borderId="1" xfId="0" applyNumberFormat="1" applyBorder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7CBD233-2BDF-42D6-AB10-6A85A41AF5E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30601</xdr:colOff>
      <xdr:row>0</xdr:row>
      <xdr:rowOff>0</xdr:rowOff>
    </xdr:from>
    <xdr:to>
      <xdr:col>9</xdr:col>
      <xdr:colOff>30601</xdr:colOff>
      <xdr:row>55</xdr:row>
      <xdr:rowOff>37171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3F2EC1D-195D-29DC-2EE3-39767E50BF33}"/>
            </a:ext>
          </a:extLst>
        </xdr:cNvPr>
        <xdr:cNvCxnSpPr/>
      </xdr:nvCxnSpPr>
      <xdr:spPr>
        <a:xfrm>
          <a:off x="5995222" y="0"/>
          <a:ext cx="0" cy="906949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5B5EC-F51D-475B-801A-7D130C9D2E81}">
  <dimension ref="B2:M16"/>
  <sheetViews>
    <sheetView zoomScaleNormal="100" workbookViewId="0">
      <selection activeCell="M7" sqref="M7"/>
    </sheetView>
  </sheetViews>
  <sheetFormatPr defaultColWidth="8.85546875" defaultRowHeight="12.75" x14ac:dyDescent="0.2"/>
  <cols>
    <col min="2" max="2" width="14" customWidth="1"/>
  </cols>
  <sheetData>
    <row r="2" spans="2:13" x14ac:dyDescent="0.2">
      <c r="B2" t="s">
        <v>37</v>
      </c>
      <c r="K2" t="s">
        <v>0</v>
      </c>
      <c r="L2" s="1">
        <v>369</v>
      </c>
    </row>
    <row r="3" spans="2:13" x14ac:dyDescent="0.2">
      <c r="K3" t="s">
        <v>1</v>
      </c>
      <c r="L3" s="2">
        <v>47.114727000000002</v>
      </c>
      <c r="M3" s="4" t="s">
        <v>33</v>
      </c>
    </row>
    <row r="4" spans="2:13" x14ac:dyDescent="0.2">
      <c r="B4" t="s">
        <v>56</v>
      </c>
      <c r="C4" s="7">
        <v>0.41</v>
      </c>
      <c r="K4" t="s">
        <v>2</v>
      </c>
      <c r="L4" s="2">
        <f>+L2*L3</f>
        <v>17385.334263000001</v>
      </c>
    </row>
    <row r="5" spans="2:13" x14ac:dyDescent="0.2">
      <c r="B5" t="s">
        <v>57</v>
      </c>
      <c r="C5" s="7">
        <v>0.19</v>
      </c>
      <c r="K5" t="s">
        <v>3</v>
      </c>
      <c r="L5" s="2">
        <v>414</v>
      </c>
      <c r="M5" s="4" t="s">
        <v>33</v>
      </c>
    </row>
    <row r="6" spans="2:13" x14ac:dyDescent="0.2">
      <c r="B6" t="s">
        <v>58</v>
      </c>
      <c r="C6" s="7">
        <v>0.19</v>
      </c>
      <c r="K6" t="s">
        <v>4</v>
      </c>
      <c r="L6" s="2">
        <v>0</v>
      </c>
      <c r="M6" s="4" t="s">
        <v>33</v>
      </c>
    </row>
    <row r="7" spans="2:13" x14ac:dyDescent="0.2">
      <c r="B7" t="s">
        <v>59</v>
      </c>
      <c r="C7" s="7">
        <v>0.15</v>
      </c>
      <c r="K7" t="s">
        <v>5</v>
      </c>
      <c r="L7" s="2">
        <f>+L4-L5+L6</f>
        <v>16971.334263000001</v>
      </c>
    </row>
    <row r="8" spans="2:13" x14ac:dyDescent="0.2">
      <c r="B8" t="s">
        <v>60</v>
      </c>
      <c r="C8" s="7">
        <v>0.03</v>
      </c>
    </row>
    <row r="9" spans="2:13" x14ac:dyDescent="0.2">
      <c r="B9" s="10" t="s">
        <v>61</v>
      </c>
      <c r="C9" s="11">
        <v>0.03</v>
      </c>
      <c r="K9" t="s">
        <v>39</v>
      </c>
      <c r="L9">
        <v>1990</v>
      </c>
    </row>
    <row r="10" spans="2:13" x14ac:dyDescent="0.2">
      <c r="B10" t="s">
        <v>55</v>
      </c>
      <c r="C10" s="7">
        <f>SUM(C4:C9)</f>
        <v>1</v>
      </c>
    </row>
    <row r="12" spans="2:13" x14ac:dyDescent="0.2">
      <c r="B12" t="s">
        <v>45</v>
      </c>
      <c r="C12">
        <v>2700</v>
      </c>
      <c r="D12" t="s">
        <v>46</v>
      </c>
    </row>
    <row r="13" spans="2:13" x14ac:dyDescent="0.2">
      <c r="C13">
        <v>1700</v>
      </c>
      <c r="D13" t="s">
        <v>47</v>
      </c>
    </row>
    <row r="14" spans="2:13" x14ac:dyDescent="0.2">
      <c r="B14" t="s">
        <v>48</v>
      </c>
      <c r="C14">
        <v>8500</v>
      </c>
      <c r="D14" t="s">
        <v>47</v>
      </c>
    </row>
    <row r="15" spans="2:13" x14ac:dyDescent="0.2">
      <c r="B15" t="s">
        <v>49</v>
      </c>
      <c r="C15">
        <v>9674</v>
      </c>
      <c r="D15" t="s">
        <v>47</v>
      </c>
    </row>
    <row r="16" spans="2:13" x14ac:dyDescent="0.2">
      <c r="B16" t="s">
        <v>50</v>
      </c>
      <c r="C16">
        <v>360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4C99A-A828-49A1-B085-1C6FB4178469}">
  <dimension ref="A1:EJ48"/>
  <sheetViews>
    <sheetView tabSelected="1" zoomScaleNormal="100" workbookViewId="0">
      <pane xSplit="2" ySplit="2" topLeftCell="W3" activePane="bottomRight" state="frozen"/>
      <selection pane="topRight" activeCell="C1" sqref="C1"/>
      <selection pane="bottomLeft" activeCell="A3" sqref="A3"/>
      <selection pane="bottomRight" activeCell="AH28" sqref="AH28"/>
    </sheetView>
  </sheetViews>
  <sheetFormatPr defaultColWidth="8.85546875" defaultRowHeight="12.75" x14ac:dyDescent="0.2"/>
  <cols>
    <col min="1" max="1" width="5" bestFit="1" customWidth="1"/>
    <col min="2" max="2" width="15.85546875" bestFit="1" customWidth="1"/>
    <col min="4" max="5" width="10.7109375" bestFit="1" customWidth="1"/>
    <col min="6" max="7" width="10" customWidth="1"/>
    <col min="8" max="9" width="10.7109375" bestFit="1" customWidth="1"/>
    <col min="10" max="11" width="10" customWidth="1"/>
    <col min="13" max="13" width="10.140625" bestFit="1" customWidth="1"/>
    <col min="14" max="16" width="10.28515625" bestFit="1" customWidth="1"/>
    <col min="17" max="17" width="10.140625" bestFit="1" customWidth="1"/>
    <col min="18" max="19" width="10.28515625" bestFit="1" customWidth="1"/>
    <col min="20" max="24" width="10.7109375" bestFit="1" customWidth="1"/>
    <col min="25" max="26" width="10.28515625" bestFit="1" customWidth="1"/>
    <col min="27" max="27" width="10.140625" bestFit="1" customWidth="1"/>
    <col min="28" max="28" width="10.28515625" bestFit="1" customWidth="1"/>
    <col min="29" max="31" width="10.140625" bestFit="1" customWidth="1"/>
  </cols>
  <sheetData>
    <row r="1" spans="1:140" x14ac:dyDescent="0.2">
      <c r="A1" s="3" t="s">
        <v>6</v>
      </c>
    </row>
    <row r="2" spans="1:140" s="12" customFormat="1" x14ac:dyDescent="0.2">
      <c r="D2" s="12">
        <v>45045</v>
      </c>
      <c r="E2" s="12">
        <v>45136</v>
      </c>
      <c r="H2" s="12">
        <v>45416</v>
      </c>
      <c r="I2" s="12">
        <v>45507</v>
      </c>
      <c r="M2" s="12">
        <v>42763</v>
      </c>
      <c r="N2" s="12">
        <v>43134</v>
      </c>
      <c r="O2" s="12">
        <v>43498</v>
      </c>
      <c r="P2" s="12">
        <v>43862</v>
      </c>
      <c r="Q2" s="12">
        <v>44226</v>
      </c>
      <c r="R2" s="12">
        <v>44590</v>
      </c>
      <c r="S2" s="12">
        <v>44954</v>
      </c>
      <c r="T2" s="12">
        <v>45325</v>
      </c>
      <c r="U2" s="12">
        <f t="shared" ref="U2:AE2" si="0">+T2+365</f>
        <v>45690</v>
      </c>
      <c r="V2" s="12">
        <f t="shared" si="0"/>
        <v>46055</v>
      </c>
      <c r="W2" s="12">
        <f t="shared" si="0"/>
        <v>46420</v>
      </c>
      <c r="X2" s="12">
        <f t="shared" si="0"/>
        <v>46785</v>
      </c>
      <c r="Y2" s="12">
        <f t="shared" si="0"/>
        <v>47150</v>
      </c>
      <c r="Z2" s="12">
        <f t="shared" si="0"/>
        <v>47515</v>
      </c>
      <c r="AA2" s="12">
        <f t="shared" si="0"/>
        <v>47880</v>
      </c>
      <c r="AB2" s="12">
        <f t="shared" si="0"/>
        <v>48245</v>
      </c>
      <c r="AC2" s="12">
        <f t="shared" si="0"/>
        <v>48610</v>
      </c>
      <c r="AD2" s="12">
        <f t="shared" si="0"/>
        <v>48975</v>
      </c>
      <c r="AE2" s="12">
        <f t="shared" si="0"/>
        <v>49340</v>
      </c>
    </row>
    <row r="3" spans="1:140" s="5" customFormat="1" x14ac:dyDescent="0.2">
      <c r="B3" s="5" t="s">
        <v>40</v>
      </c>
      <c r="G3" s="2">
        <v>1350</v>
      </c>
      <c r="M3" s="2">
        <v>974</v>
      </c>
      <c r="N3" s="2">
        <v>1074</v>
      </c>
      <c r="O3" s="2">
        <v>1174</v>
      </c>
      <c r="P3" s="2">
        <v>1254</v>
      </c>
      <c r="Q3" s="2">
        <v>1264</v>
      </c>
      <c r="R3" s="2">
        <v>1308</v>
      </c>
      <c r="S3" s="2">
        <v>1355</v>
      </c>
      <c r="T3" s="2">
        <v>1385</v>
      </c>
    </row>
    <row r="4" spans="1:140" s="5" customFormat="1" x14ac:dyDescent="0.2">
      <c r="B4" s="5" t="s">
        <v>41</v>
      </c>
      <c r="G4" s="2"/>
      <c r="M4" s="1">
        <f t="shared" ref="M4:Q4" si="1">+M7/M3</f>
        <v>4.9843295687885014</v>
      </c>
      <c r="N4" s="1">
        <f t="shared" si="1"/>
        <v>5.4790558659217883</v>
      </c>
      <c r="O4" s="1">
        <f t="shared" si="1"/>
        <v>5.7211371379897784</v>
      </c>
      <c r="P4" s="1">
        <f t="shared" si="1"/>
        <v>5.8995757575757581</v>
      </c>
      <c r="Q4" s="1">
        <f t="shared" si="1"/>
        <v>4.8670514240506328</v>
      </c>
      <c r="R4" s="1">
        <f>+R7/R3</f>
        <v>6.5985389908256877</v>
      </c>
      <c r="S4" s="1">
        <f>+S7/S3</f>
        <v>7.5340073800738008</v>
      </c>
      <c r="T4" s="1">
        <f>+T7/T3</f>
        <v>8.0919155234657048</v>
      </c>
    </row>
    <row r="5" spans="1:140" s="5" customFormat="1" x14ac:dyDescent="0.2">
      <c r="G5" s="2"/>
      <c r="R5" s="2"/>
      <c r="S5" s="2"/>
      <c r="T5" s="2"/>
    </row>
    <row r="6" spans="1:140" s="5" customFormat="1" x14ac:dyDescent="0.2">
      <c r="G6" s="2"/>
      <c r="R6" s="2"/>
      <c r="S6" s="2"/>
      <c r="T6" s="2"/>
    </row>
    <row r="7" spans="1:140" s="6" customFormat="1" x14ac:dyDescent="0.2">
      <c r="B7" s="6" t="s">
        <v>7</v>
      </c>
      <c r="D7" s="6">
        <v>2634.2629999999999</v>
      </c>
      <c r="E7" s="6">
        <v>2529.8090000000002</v>
      </c>
      <c r="H7" s="6">
        <v>2725.848</v>
      </c>
      <c r="I7" s="6">
        <v>2552.087</v>
      </c>
      <c r="M7" s="6">
        <v>4854.7370000000001</v>
      </c>
      <c r="N7" s="6">
        <v>5884.5060000000003</v>
      </c>
      <c r="O7" s="6">
        <v>6716.6149999999998</v>
      </c>
      <c r="P7" s="6">
        <v>7398.0680000000002</v>
      </c>
      <c r="Q7" s="6">
        <v>6151.9530000000004</v>
      </c>
      <c r="R7" s="6">
        <v>8630.8889999999992</v>
      </c>
      <c r="S7" s="6">
        <v>10208.58</v>
      </c>
      <c r="T7" s="6">
        <v>11207.303</v>
      </c>
      <c r="U7" s="6">
        <f t="shared" ref="U7:AE7" si="2">+T7*1.05</f>
        <v>11767.66815</v>
      </c>
      <c r="V7" s="6">
        <f t="shared" si="2"/>
        <v>12356.051557500001</v>
      </c>
      <c r="W7" s="6">
        <f t="shared" si="2"/>
        <v>12973.854135375001</v>
      </c>
      <c r="X7" s="6">
        <f t="shared" si="2"/>
        <v>13622.546842143751</v>
      </c>
      <c r="Y7" s="6">
        <f t="shared" si="2"/>
        <v>14303.674184250938</v>
      </c>
      <c r="Z7" s="6">
        <f t="shared" si="2"/>
        <v>15018.857893463486</v>
      </c>
      <c r="AA7" s="6">
        <f t="shared" si="2"/>
        <v>15769.800788136661</v>
      </c>
      <c r="AB7" s="6">
        <f t="shared" si="2"/>
        <v>16558.290827543497</v>
      </c>
      <c r="AC7" s="6">
        <f t="shared" si="2"/>
        <v>17386.205368920673</v>
      </c>
      <c r="AD7" s="6">
        <f t="shared" si="2"/>
        <v>18255.515637366709</v>
      </c>
      <c r="AE7" s="6">
        <f t="shared" si="2"/>
        <v>19168.291419235044</v>
      </c>
    </row>
    <row r="8" spans="1:140" s="2" customFormat="1" x14ac:dyDescent="0.2">
      <c r="B8" s="2" t="s">
        <v>8</v>
      </c>
      <c r="D8" s="2">
        <v>1579.4059999999999</v>
      </c>
      <c r="E8" s="2">
        <v>1536.1969999999999</v>
      </c>
      <c r="H8" s="2">
        <v>1656.068</v>
      </c>
      <c r="I8" s="2">
        <v>1573.91</v>
      </c>
      <c r="M8" s="2">
        <v>3107.5079999999998</v>
      </c>
      <c r="N8" s="2">
        <v>3787.6970000000001</v>
      </c>
      <c r="O8" s="2">
        <v>4307.3040000000001</v>
      </c>
      <c r="P8" s="2">
        <v>4717.0039999999999</v>
      </c>
      <c r="Q8" s="2">
        <v>4202.7939999999999</v>
      </c>
      <c r="R8" s="2">
        <v>5262.335</v>
      </c>
      <c r="S8" s="2">
        <v>6164.07</v>
      </c>
      <c r="T8" s="2">
        <v>6826.2030000000004</v>
      </c>
      <c r="U8" s="2">
        <f>+U7-U9</f>
        <v>7060.6008899999997</v>
      </c>
      <c r="V8" s="2">
        <f t="shared" ref="V8:AE8" si="3">+V7-V9</f>
        <v>7413.6309345</v>
      </c>
      <c r="W8" s="2">
        <f t="shared" si="3"/>
        <v>7784.3124812249998</v>
      </c>
      <c r="X8" s="2">
        <f t="shared" si="3"/>
        <v>8173.5281052862501</v>
      </c>
      <c r="Y8" s="2">
        <f t="shared" si="3"/>
        <v>8582.2045105505622</v>
      </c>
      <c r="Z8" s="2">
        <f t="shared" si="3"/>
        <v>9011.3147360780913</v>
      </c>
      <c r="AA8" s="2">
        <f t="shared" si="3"/>
        <v>9461.880472881996</v>
      </c>
      <c r="AB8" s="2">
        <f t="shared" si="3"/>
        <v>9934.9744965260979</v>
      </c>
      <c r="AC8" s="2">
        <f t="shared" si="3"/>
        <v>10431.723221352404</v>
      </c>
      <c r="AD8" s="2">
        <f t="shared" si="3"/>
        <v>10953.309382420026</v>
      </c>
      <c r="AE8" s="2">
        <f t="shared" si="3"/>
        <v>11500.974851541025</v>
      </c>
    </row>
    <row r="9" spans="1:140" s="2" customFormat="1" x14ac:dyDescent="0.2">
      <c r="B9" s="2" t="s">
        <v>9</v>
      </c>
      <c r="D9" s="2">
        <f>+D7-D8</f>
        <v>1054.857</v>
      </c>
      <c r="E9" s="2">
        <f>+E7-E8</f>
        <v>993.61200000000031</v>
      </c>
      <c r="H9" s="2">
        <f>+H7-H8</f>
        <v>1069.78</v>
      </c>
      <c r="I9" s="2">
        <f>+I7-I8</f>
        <v>978.17699999999991</v>
      </c>
      <c r="M9" s="2">
        <f>+M7-M8</f>
        <v>1747.2290000000003</v>
      </c>
      <c r="N9" s="2">
        <f>+N7-N8</f>
        <v>2096.8090000000002</v>
      </c>
      <c r="O9" s="2">
        <f>+O7-O8</f>
        <v>2409.3109999999997</v>
      </c>
      <c r="P9" s="2">
        <f t="shared" ref="P9:S9" si="4">+P7-P8</f>
        <v>2681.0640000000003</v>
      </c>
      <c r="Q9" s="2">
        <f t="shared" si="4"/>
        <v>1949.1590000000006</v>
      </c>
      <c r="R9" s="2">
        <f t="shared" si="4"/>
        <v>3368.5539999999992</v>
      </c>
      <c r="S9" s="2">
        <f t="shared" si="4"/>
        <v>4044.51</v>
      </c>
      <c r="T9" s="2">
        <f>+T7-T8</f>
        <v>4381.0999999999995</v>
      </c>
      <c r="U9" s="2">
        <f>+U7*0.4</f>
        <v>4707.0672599999998</v>
      </c>
      <c r="V9" s="2">
        <f t="shared" ref="V9:AE9" si="5">+V7*0.4</f>
        <v>4942.4206230000009</v>
      </c>
      <c r="W9" s="2">
        <f t="shared" si="5"/>
        <v>5189.5416541500008</v>
      </c>
      <c r="X9" s="2">
        <f t="shared" si="5"/>
        <v>5449.0187368575007</v>
      </c>
      <c r="Y9" s="2">
        <f t="shared" si="5"/>
        <v>5721.469673700376</v>
      </c>
      <c r="Z9" s="2">
        <f t="shared" si="5"/>
        <v>6007.5431573853948</v>
      </c>
      <c r="AA9" s="2">
        <f t="shared" si="5"/>
        <v>6307.9203152546652</v>
      </c>
      <c r="AB9" s="2">
        <f t="shared" si="5"/>
        <v>6623.3163310173986</v>
      </c>
      <c r="AC9" s="2">
        <f t="shared" si="5"/>
        <v>6954.4821475682693</v>
      </c>
      <c r="AD9" s="2">
        <f t="shared" si="5"/>
        <v>7302.2062549466837</v>
      </c>
      <c r="AE9" s="2">
        <f t="shared" si="5"/>
        <v>7667.316567694018</v>
      </c>
    </row>
    <row r="10" spans="1:140" s="2" customFormat="1" x14ac:dyDescent="0.2">
      <c r="B10" s="2" t="s">
        <v>10</v>
      </c>
      <c r="D10" s="2">
        <f>612.129+0.658</f>
        <v>612.78700000000003</v>
      </c>
      <c r="E10" s="2">
        <f>600.692+1.278</f>
        <v>601.97</v>
      </c>
      <c r="H10" s="2">
        <f>665.913+2.919</f>
        <v>668.83199999999999</v>
      </c>
      <c r="I10" s="2">
        <f>644.821+4.155</f>
        <v>648.976</v>
      </c>
      <c r="M10" s="2">
        <v>1073.8340000000001</v>
      </c>
      <c r="N10" s="2">
        <v>1287.232</v>
      </c>
      <c r="O10" s="2">
        <v>1535.4639999999999</v>
      </c>
      <c r="P10" s="2">
        <v>1760.7159999999999</v>
      </c>
      <c r="Q10" s="2">
        <v>1583.0170000000001</v>
      </c>
      <c r="R10" s="2">
        <v>2061.5450000000001</v>
      </c>
      <c r="S10" s="2">
        <v>2395.299</v>
      </c>
      <c r="T10" s="2">
        <v>2694.5610000000001</v>
      </c>
      <c r="U10" s="2">
        <f>+T10*1.04</f>
        <v>2802.3434400000001</v>
      </c>
      <c r="V10" s="2">
        <f t="shared" ref="V10:AE10" si="6">+U10*1.04</f>
        <v>2914.4371776000003</v>
      </c>
      <c r="W10" s="2">
        <f t="shared" si="6"/>
        <v>3031.0146647040006</v>
      </c>
      <c r="X10" s="2">
        <f t="shared" si="6"/>
        <v>3152.2552512921607</v>
      </c>
      <c r="Y10" s="2">
        <f t="shared" si="6"/>
        <v>3278.3454613438471</v>
      </c>
      <c r="Z10" s="2">
        <f t="shared" si="6"/>
        <v>3409.4792797976011</v>
      </c>
      <c r="AA10" s="2">
        <f t="shared" si="6"/>
        <v>3545.8584509895054</v>
      </c>
      <c r="AB10" s="2">
        <f t="shared" si="6"/>
        <v>3687.6927890290858</v>
      </c>
      <c r="AC10" s="2">
        <f t="shared" si="6"/>
        <v>3835.2005005902492</v>
      </c>
      <c r="AD10" s="2">
        <f t="shared" si="6"/>
        <v>3988.6085206138591</v>
      </c>
      <c r="AE10" s="2">
        <f t="shared" si="6"/>
        <v>4148.1528614384133</v>
      </c>
    </row>
    <row r="11" spans="1:140" s="2" customFormat="1" x14ac:dyDescent="0.2">
      <c r="B11" s="2" t="s">
        <v>11</v>
      </c>
      <c r="D11" s="2">
        <f>+D9-D10</f>
        <v>442.06999999999994</v>
      </c>
      <c r="E11" s="2">
        <f>+E9-E10</f>
        <v>391.64200000000028</v>
      </c>
      <c r="H11" s="2">
        <f>+H9-H10</f>
        <v>400.94799999999998</v>
      </c>
      <c r="I11" s="2">
        <f>+I9-I10</f>
        <v>329.20099999999991</v>
      </c>
      <c r="M11" s="2">
        <f t="shared" ref="M11:S11" si="7">+M9-M10</f>
        <v>673.39500000000021</v>
      </c>
      <c r="N11" s="2">
        <f t="shared" si="7"/>
        <v>809.57700000000023</v>
      </c>
      <c r="O11" s="2">
        <f t="shared" si="7"/>
        <v>873.84699999999975</v>
      </c>
      <c r="P11" s="2">
        <f t="shared" si="7"/>
        <v>920.34800000000041</v>
      </c>
      <c r="Q11" s="2">
        <f t="shared" si="7"/>
        <v>366.14200000000051</v>
      </c>
      <c r="R11" s="2">
        <f t="shared" si="7"/>
        <v>1307.0089999999991</v>
      </c>
      <c r="S11" s="2">
        <f t="shared" si="7"/>
        <v>1649.2110000000002</v>
      </c>
      <c r="T11" s="2">
        <f>+T9-T10</f>
        <v>1686.5389999999993</v>
      </c>
      <c r="U11" s="2">
        <f t="shared" ref="U11:AE11" si="8">+U9-U10</f>
        <v>1904.7238199999997</v>
      </c>
      <c r="V11" s="2">
        <f t="shared" si="8"/>
        <v>2027.9834454000006</v>
      </c>
      <c r="W11" s="2">
        <f t="shared" si="8"/>
        <v>2158.5269894460002</v>
      </c>
      <c r="X11" s="2">
        <f t="shared" si="8"/>
        <v>2296.76348556534</v>
      </c>
      <c r="Y11" s="2">
        <f t="shared" si="8"/>
        <v>2443.1242123565289</v>
      </c>
      <c r="Z11" s="2">
        <f t="shared" si="8"/>
        <v>2598.0638775877937</v>
      </c>
      <c r="AA11" s="2">
        <f t="shared" si="8"/>
        <v>2762.0618642651598</v>
      </c>
      <c r="AB11" s="2">
        <f t="shared" si="8"/>
        <v>2935.6235419883128</v>
      </c>
      <c r="AC11" s="2">
        <f t="shared" si="8"/>
        <v>3119.28164697802</v>
      </c>
      <c r="AD11" s="2">
        <f t="shared" si="8"/>
        <v>3313.5977343328245</v>
      </c>
      <c r="AE11" s="2">
        <f t="shared" si="8"/>
        <v>3519.1637062556047</v>
      </c>
    </row>
    <row r="12" spans="1:140" x14ac:dyDescent="0.2">
      <c r="B12" s="2" t="s">
        <v>12</v>
      </c>
      <c r="C12" s="2"/>
      <c r="D12" s="2">
        <v>7.3479999999999999</v>
      </c>
      <c r="E12" s="2">
        <v>4.4489999999999998</v>
      </c>
      <c r="H12" s="2">
        <v>6.9</v>
      </c>
      <c r="I12" s="2">
        <v>4.5259999999999998</v>
      </c>
      <c r="J12" s="2"/>
      <c r="K12" s="2"/>
      <c r="M12" s="2">
        <v>0.89</v>
      </c>
      <c r="N12" s="2">
        <v>1.5680000000000001</v>
      </c>
      <c r="O12" s="2">
        <v>5.0609999999999999</v>
      </c>
      <c r="P12" s="2">
        <v>5.056</v>
      </c>
      <c r="Q12" s="2">
        <v>5.7350000000000003</v>
      </c>
      <c r="R12" s="2">
        <v>1.663</v>
      </c>
      <c r="S12" s="2">
        <v>-4.9340000000000002</v>
      </c>
      <c r="T12" s="2">
        <v>-17.622</v>
      </c>
      <c r="U12" s="2">
        <f>+T24*$AH$25</f>
        <v>24</v>
      </c>
      <c r="V12" s="2">
        <f t="shared" ref="V12:AE12" si="9">+U24*$AH$25</f>
        <v>67.396285949999992</v>
      </c>
      <c r="W12" s="2">
        <f t="shared" si="9"/>
        <v>114.542329905375</v>
      </c>
      <c r="X12" s="2">
        <f t="shared" si="9"/>
        <v>165.68638959078095</v>
      </c>
      <c r="Y12" s="2">
        <f t="shared" si="9"/>
        <v>221.09151178179366</v>
      </c>
      <c r="Z12" s="2">
        <f t="shared" si="9"/>
        <v>281.03636557490591</v>
      </c>
      <c r="AA12" s="2">
        <f t="shared" si="9"/>
        <v>345.81612104606666</v>
      </c>
      <c r="AB12" s="2">
        <f t="shared" si="9"/>
        <v>415.74337571556924</v>
      </c>
      <c r="AC12" s="2">
        <f t="shared" si="9"/>
        <v>491.14913136390663</v>
      </c>
      <c r="AD12" s="2">
        <f t="shared" si="9"/>
        <v>572.38382387659999</v>
      </c>
      <c r="AE12" s="2">
        <f t="shared" si="9"/>
        <v>659.81840893631204</v>
      </c>
    </row>
    <row r="13" spans="1:140" x14ac:dyDescent="0.2">
      <c r="B13" s="2" t="s">
        <v>13</v>
      </c>
      <c r="C13" s="2"/>
      <c r="D13" s="2">
        <f t="shared" ref="D13:G13" si="10">+D11+D12</f>
        <v>449.41799999999995</v>
      </c>
      <c r="E13" s="2">
        <f t="shared" si="10"/>
        <v>396.09100000000029</v>
      </c>
      <c r="F13" s="2">
        <f t="shared" si="10"/>
        <v>0</v>
      </c>
      <c r="G13" s="2">
        <f t="shared" si="10"/>
        <v>0</v>
      </c>
      <c r="H13" s="2">
        <f>+H11+H12</f>
        <v>407.84799999999996</v>
      </c>
      <c r="I13" s="2">
        <f>+I11+I12</f>
        <v>333.72699999999992</v>
      </c>
      <c r="J13" s="2"/>
      <c r="K13" s="2"/>
      <c r="M13" s="2">
        <f t="shared" ref="M13" si="11">+M11+M12</f>
        <v>674.2850000000002</v>
      </c>
      <c r="N13" s="2">
        <f t="shared" ref="N13" si="12">+N11+N12</f>
        <v>811.14500000000021</v>
      </c>
      <c r="O13" s="2">
        <f t="shared" ref="O13" si="13">+O11+O12</f>
        <v>878.90799999999979</v>
      </c>
      <c r="P13" s="2">
        <f t="shared" ref="P13:AE13" si="14">+P11+P12</f>
        <v>925.40400000000045</v>
      </c>
      <c r="Q13" s="2">
        <f t="shared" si="14"/>
        <v>371.87700000000052</v>
      </c>
      <c r="R13" s="2">
        <f t="shared" si="14"/>
        <v>1308.6719999999991</v>
      </c>
      <c r="S13" s="2">
        <f t="shared" si="14"/>
        <v>1644.2770000000003</v>
      </c>
      <c r="T13" s="2">
        <f t="shared" si="14"/>
        <v>1668.9169999999992</v>
      </c>
      <c r="U13" s="2">
        <f t="shared" si="14"/>
        <v>1928.7238199999997</v>
      </c>
      <c r="V13" s="2">
        <f t="shared" si="14"/>
        <v>2095.3797313500008</v>
      </c>
      <c r="W13" s="2">
        <f t="shared" si="14"/>
        <v>2273.0693193513753</v>
      </c>
      <c r="X13" s="2">
        <f t="shared" si="14"/>
        <v>2462.4498751561209</v>
      </c>
      <c r="Y13" s="2">
        <f t="shared" si="14"/>
        <v>2664.2157241383225</v>
      </c>
      <c r="Z13" s="2">
        <f t="shared" si="14"/>
        <v>2879.1002431626998</v>
      </c>
      <c r="AA13" s="2">
        <f t="shared" si="14"/>
        <v>3107.8779853112264</v>
      </c>
      <c r="AB13" s="2">
        <f t="shared" si="14"/>
        <v>3351.3669177038819</v>
      </c>
      <c r="AC13" s="2">
        <f t="shared" si="14"/>
        <v>3610.4307783419267</v>
      </c>
      <c r="AD13" s="2">
        <f t="shared" si="14"/>
        <v>3885.9815582094243</v>
      </c>
      <c r="AE13" s="2">
        <f t="shared" si="14"/>
        <v>4178.9821151919168</v>
      </c>
    </row>
    <row r="14" spans="1:140" x14ac:dyDescent="0.2">
      <c r="B14" s="2" t="s">
        <v>14</v>
      </c>
      <c r="C14" s="2"/>
      <c r="D14" s="2">
        <v>102.367</v>
      </c>
      <c r="E14" s="2">
        <v>95.989000000000004</v>
      </c>
      <c r="H14" s="2">
        <v>94.734999999999999</v>
      </c>
      <c r="I14" s="2">
        <v>81.171000000000006</v>
      </c>
      <c r="J14" s="2"/>
      <c r="K14" s="2"/>
      <c r="M14" s="2">
        <v>245.95400000000001</v>
      </c>
      <c r="N14" s="2">
        <v>231.625</v>
      </c>
      <c r="O14" s="2">
        <v>200.58199999999999</v>
      </c>
      <c r="P14" s="2">
        <v>200.20500000000001</v>
      </c>
      <c r="Q14" s="2">
        <v>55.25</v>
      </c>
      <c r="R14" s="2">
        <v>309.99200000000002</v>
      </c>
      <c r="S14" s="2">
        <v>401.13600000000002</v>
      </c>
      <c r="T14" s="2">
        <v>404.64600000000002</v>
      </c>
      <c r="U14" s="2">
        <f>+U13*0.25</f>
        <v>482.18095499999993</v>
      </c>
      <c r="V14" s="2">
        <f t="shared" ref="V14:AE14" si="15">+V13*0.25</f>
        <v>523.84493283750021</v>
      </c>
      <c r="W14" s="2">
        <f t="shared" si="15"/>
        <v>568.26732983784382</v>
      </c>
      <c r="X14" s="2">
        <f t="shared" si="15"/>
        <v>615.61246878903023</v>
      </c>
      <c r="Y14" s="2">
        <f t="shared" si="15"/>
        <v>666.05393103458061</v>
      </c>
      <c r="Z14" s="2">
        <f t="shared" si="15"/>
        <v>719.77506079067496</v>
      </c>
      <c r="AA14" s="2">
        <f t="shared" si="15"/>
        <v>776.96949632780661</v>
      </c>
      <c r="AB14" s="2">
        <f t="shared" si="15"/>
        <v>837.84172942597047</v>
      </c>
      <c r="AC14" s="2">
        <f t="shared" si="15"/>
        <v>902.60769458548168</v>
      </c>
      <c r="AD14" s="2">
        <f t="shared" si="15"/>
        <v>971.49538955235607</v>
      </c>
      <c r="AE14" s="2">
        <f t="shared" si="15"/>
        <v>1044.7455287979792</v>
      </c>
    </row>
    <row r="15" spans="1:140" x14ac:dyDescent="0.2">
      <c r="B15" s="2" t="s">
        <v>15</v>
      </c>
      <c r="C15" s="2"/>
      <c r="D15" s="2">
        <f t="shared" ref="D15:G15" si="16">+D13-D14</f>
        <v>347.05099999999993</v>
      </c>
      <c r="E15" s="2">
        <f t="shared" si="16"/>
        <v>300.10200000000032</v>
      </c>
      <c r="F15" s="2">
        <f t="shared" si="16"/>
        <v>0</v>
      </c>
      <c r="G15" s="2">
        <f t="shared" si="16"/>
        <v>0</v>
      </c>
      <c r="H15" s="2">
        <f>+H13-H14</f>
        <v>313.11299999999994</v>
      </c>
      <c r="I15" s="2">
        <f>+I13-I14</f>
        <v>252.55599999999993</v>
      </c>
      <c r="J15" s="2"/>
      <c r="K15" s="2"/>
      <c r="M15" s="2">
        <f t="shared" ref="M15:N15" si="17">+M13-M14</f>
        <v>428.33100000000019</v>
      </c>
      <c r="N15" s="2">
        <f t="shared" si="17"/>
        <v>579.52000000000021</v>
      </c>
      <c r="O15" s="2">
        <f t="shared" ref="O15" si="18">+O13-O14</f>
        <v>678.32599999999979</v>
      </c>
      <c r="P15" s="2">
        <f t="shared" ref="P15:AE15" si="19">+P13-P14</f>
        <v>725.19900000000041</v>
      </c>
      <c r="Q15" s="2">
        <f t="shared" si="19"/>
        <v>316.62700000000052</v>
      </c>
      <c r="R15" s="2">
        <f t="shared" si="19"/>
        <v>998.67999999999915</v>
      </c>
      <c r="S15" s="2">
        <f t="shared" si="19"/>
        <v>1243.1410000000003</v>
      </c>
      <c r="T15" s="2">
        <f t="shared" si="19"/>
        <v>1264.2709999999993</v>
      </c>
      <c r="U15" s="2">
        <f t="shared" si="19"/>
        <v>1446.5428649999999</v>
      </c>
      <c r="V15" s="2">
        <f t="shared" si="19"/>
        <v>1571.5347985125006</v>
      </c>
      <c r="W15" s="2">
        <f t="shared" si="19"/>
        <v>1704.8019895135315</v>
      </c>
      <c r="X15" s="2">
        <f t="shared" si="19"/>
        <v>1846.8374063670908</v>
      </c>
      <c r="Y15" s="2">
        <f t="shared" si="19"/>
        <v>1998.1617931037417</v>
      </c>
      <c r="Z15" s="2">
        <f t="shared" si="19"/>
        <v>2159.3251823720248</v>
      </c>
      <c r="AA15" s="2">
        <f t="shared" si="19"/>
        <v>2330.9084889834198</v>
      </c>
      <c r="AB15" s="2">
        <f t="shared" si="19"/>
        <v>2513.5251882779112</v>
      </c>
      <c r="AC15" s="2">
        <f t="shared" si="19"/>
        <v>2707.8230837564452</v>
      </c>
      <c r="AD15" s="2">
        <f t="shared" si="19"/>
        <v>2914.4861686570684</v>
      </c>
      <c r="AE15" s="2">
        <f t="shared" si="19"/>
        <v>3134.2365863939376</v>
      </c>
      <c r="AF15" s="2">
        <f>+AE15*(1+$AH$23)</f>
        <v>3071.5518546660587</v>
      </c>
      <c r="AG15" s="2">
        <f t="shared" ref="AG15:CR15" si="20">+AF15*(1+$AH$23)</f>
        <v>3010.1208175727375</v>
      </c>
      <c r="AH15" s="2">
        <f t="shared" si="20"/>
        <v>2949.9184012212827</v>
      </c>
      <c r="AI15" s="2">
        <f t="shared" si="20"/>
        <v>2890.9200331968568</v>
      </c>
      <c r="AJ15" s="2">
        <f t="shared" si="20"/>
        <v>2833.1016325329197</v>
      </c>
      <c r="AK15" s="2">
        <f t="shared" si="20"/>
        <v>2776.4395998822611</v>
      </c>
      <c r="AL15" s="2">
        <f t="shared" si="20"/>
        <v>2720.9108078846157</v>
      </c>
      <c r="AM15" s="2">
        <f t="shared" si="20"/>
        <v>2666.4925917269234</v>
      </c>
      <c r="AN15" s="2">
        <f t="shared" si="20"/>
        <v>2613.1627398923847</v>
      </c>
      <c r="AO15" s="2">
        <f t="shared" si="20"/>
        <v>2560.8994850945369</v>
      </c>
      <c r="AP15" s="2">
        <f t="shared" si="20"/>
        <v>2509.681495392646</v>
      </c>
      <c r="AQ15" s="2">
        <f t="shared" si="20"/>
        <v>2459.487865484793</v>
      </c>
      <c r="AR15" s="2">
        <f t="shared" si="20"/>
        <v>2410.2981081750972</v>
      </c>
      <c r="AS15" s="2">
        <f t="shared" si="20"/>
        <v>2362.0921460115951</v>
      </c>
      <c r="AT15" s="2">
        <f t="shared" si="20"/>
        <v>2314.850303091363</v>
      </c>
      <c r="AU15" s="2">
        <f t="shared" si="20"/>
        <v>2268.5532970295358</v>
      </c>
      <c r="AV15" s="2">
        <f t="shared" si="20"/>
        <v>2223.1822310889452</v>
      </c>
      <c r="AW15" s="2">
        <f t="shared" si="20"/>
        <v>2178.718586467166</v>
      </c>
      <c r="AX15" s="2">
        <f t="shared" si="20"/>
        <v>2135.1442147378225</v>
      </c>
      <c r="AY15" s="2">
        <f t="shared" si="20"/>
        <v>2092.4413304430659</v>
      </c>
      <c r="AZ15" s="2">
        <f t="shared" si="20"/>
        <v>2050.5925038342048</v>
      </c>
      <c r="BA15" s="2">
        <f t="shared" si="20"/>
        <v>2009.5806537575206</v>
      </c>
      <c r="BB15" s="2">
        <f t="shared" si="20"/>
        <v>1969.3890406823703</v>
      </c>
      <c r="BC15" s="2">
        <f t="shared" si="20"/>
        <v>1930.0012598687229</v>
      </c>
      <c r="BD15" s="2">
        <f t="shared" si="20"/>
        <v>1891.4012346713484</v>
      </c>
      <c r="BE15" s="2">
        <f t="shared" si="20"/>
        <v>1853.5732099779214</v>
      </c>
      <c r="BF15" s="2">
        <f t="shared" si="20"/>
        <v>1816.5017457783629</v>
      </c>
      <c r="BG15" s="2">
        <f t="shared" si="20"/>
        <v>1780.1717108627956</v>
      </c>
      <c r="BH15" s="2">
        <f t="shared" si="20"/>
        <v>1744.5682766455398</v>
      </c>
      <c r="BI15" s="2">
        <f t="shared" si="20"/>
        <v>1709.6769111126289</v>
      </c>
      <c r="BJ15" s="2">
        <f t="shared" si="20"/>
        <v>1675.4833728903764</v>
      </c>
      <c r="BK15" s="2">
        <f t="shared" si="20"/>
        <v>1641.9737054325687</v>
      </c>
      <c r="BL15" s="2">
        <f t="shared" si="20"/>
        <v>1609.1342313239174</v>
      </c>
      <c r="BM15" s="2">
        <f t="shared" si="20"/>
        <v>1576.951546697439</v>
      </c>
      <c r="BN15" s="2">
        <f t="shared" si="20"/>
        <v>1545.4125157634901</v>
      </c>
      <c r="BO15" s="2">
        <f t="shared" si="20"/>
        <v>1514.5042654482202</v>
      </c>
      <c r="BP15" s="2">
        <f t="shared" si="20"/>
        <v>1484.2141801392556</v>
      </c>
      <c r="BQ15" s="2">
        <f t="shared" si="20"/>
        <v>1454.5298965364705</v>
      </c>
      <c r="BR15" s="2">
        <f t="shared" si="20"/>
        <v>1425.439298605741</v>
      </c>
      <c r="BS15" s="2">
        <f t="shared" si="20"/>
        <v>1396.9305126336262</v>
      </c>
      <c r="BT15" s="2">
        <f t="shared" si="20"/>
        <v>1368.9919023809537</v>
      </c>
      <c r="BU15" s="2">
        <f t="shared" si="20"/>
        <v>1341.6120643333345</v>
      </c>
      <c r="BV15" s="2">
        <f t="shared" si="20"/>
        <v>1314.7798230466678</v>
      </c>
      <c r="BW15" s="2">
        <f t="shared" si="20"/>
        <v>1288.4842265857344</v>
      </c>
      <c r="BX15" s="2">
        <f t="shared" si="20"/>
        <v>1262.7145420540196</v>
      </c>
      <c r="BY15" s="2">
        <f t="shared" si="20"/>
        <v>1237.4602512129393</v>
      </c>
      <c r="BZ15" s="2">
        <f t="shared" si="20"/>
        <v>1212.7110461886805</v>
      </c>
      <c r="CA15" s="2">
        <f t="shared" si="20"/>
        <v>1188.4568252649069</v>
      </c>
      <c r="CB15" s="2">
        <f t="shared" si="20"/>
        <v>1164.6876887596088</v>
      </c>
      <c r="CC15" s="2">
        <f t="shared" si="20"/>
        <v>1141.3939349844165</v>
      </c>
      <c r="CD15" s="2">
        <f t="shared" si="20"/>
        <v>1118.5660562847281</v>
      </c>
      <c r="CE15" s="2">
        <f t="shared" si="20"/>
        <v>1096.1947351590336</v>
      </c>
      <c r="CF15" s="2">
        <f t="shared" si="20"/>
        <v>1074.270840455853</v>
      </c>
      <c r="CG15" s="2">
        <f t="shared" si="20"/>
        <v>1052.7854236467358</v>
      </c>
      <c r="CH15" s="2">
        <f t="shared" si="20"/>
        <v>1031.729715173801</v>
      </c>
      <c r="CI15" s="2">
        <f t="shared" si="20"/>
        <v>1011.0951208703249</v>
      </c>
      <c r="CJ15" s="2">
        <f t="shared" si="20"/>
        <v>990.87321845291831</v>
      </c>
      <c r="CK15" s="2">
        <f t="shared" si="20"/>
        <v>971.05575408385994</v>
      </c>
      <c r="CL15" s="2">
        <f t="shared" si="20"/>
        <v>951.63463900218267</v>
      </c>
      <c r="CM15" s="2">
        <f t="shared" si="20"/>
        <v>932.60194622213896</v>
      </c>
      <c r="CN15" s="2">
        <f t="shared" si="20"/>
        <v>913.9499072976962</v>
      </c>
      <c r="CO15" s="2">
        <f t="shared" si="20"/>
        <v>895.67090915174231</v>
      </c>
      <c r="CP15" s="2">
        <f t="shared" si="20"/>
        <v>877.75749096870743</v>
      </c>
      <c r="CQ15" s="2">
        <f t="shared" si="20"/>
        <v>860.20234114933328</v>
      </c>
      <c r="CR15" s="2">
        <f t="shared" si="20"/>
        <v>842.99829432634658</v>
      </c>
      <c r="CS15" s="2">
        <f t="shared" ref="CS15:EJ15" si="21">+CR15*(1+$AH$23)</f>
        <v>826.13832843981959</v>
      </c>
      <c r="CT15" s="2">
        <f t="shared" si="21"/>
        <v>809.61556187102315</v>
      </c>
      <c r="CU15" s="2">
        <f t="shared" si="21"/>
        <v>793.42325063360272</v>
      </c>
      <c r="CV15" s="2">
        <f t="shared" si="21"/>
        <v>777.5547856209306</v>
      </c>
      <c r="CW15" s="2">
        <f t="shared" si="21"/>
        <v>762.003689908512</v>
      </c>
      <c r="CX15" s="2">
        <f t="shared" si="21"/>
        <v>746.76361611034179</v>
      </c>
      <c r="CY15" s="2">
        <f t="shared" si="21"/>
        <v>731.82834378813493</v>
      </c>
      <c r="CZ15" s="2">
        <f t="shared" si="21"/>
        <v>717.19177691237223</v>
      </c>
      <c r="DA15" s="2">
        <f t="shared" si="21"/>
        <v>702.84794137412473</v>
      </c>
      <c r="DB15" s="2">
        <f t="shared" si="21"/>
        <v>688.79098254664223</v>
      </c>
      <c r="DC15" s="2">
        <f t="shared" si="21"/>
        <v>675.01516289570941</v>
      </c>
      <c r="DD15" s="2">
        <f t="shared" si="21"/>
        <v>661.51485963779521</v>
      </c>
      <c r="DE15" s="2">
        <f t="shared" si="21"/>
        <v>648.28456244503934</v>
      </c>
      <c r="DF15" s="2">
        <f t="shared" si="21"/>
        <v>635.3188711961385</v>
      </c>
      <c r="DG15" s="2">
        <f t="shared" si="21"/>
        <v>622.61249377221577</v>
      </c>
      <c r="DH15" s="2">
        <f t="shared" si="21"/>
        <v>610.16024389677148</v>
      </c>
      <c r="DI15" s="2">
        <f t="shared" si="21"/>
        <v>597.95703901883599</v>
      </c>
      <c r="DJ15" s="2">
        <f t="shared" si="21"/>
        <v>585.99789823845924</v>
      </c>
      <c r="DK15" s="2">
        <f t="shared" si="21"/>
        <v>574.27794027369009</v>
      </c>
      <c r="DL15" s="2">
        <f t="shared" si="21"/>
        <v>562.79238146821626</v>
      </c>
      <c r="DM15" s="2">
        <f t="shared" si="21"/>
        <v>551.53653383885194</v>
      </c>
      <c r="DN15" s="2">
        <f t="shared" si="21"/>
        <v>540.50580316207493</v>
      </c>
      <c r="DO15" s="2">
        <f t="shared" si="21"/>
        <v>529.69568709883345</v>
      </c>
      <c r="DP15" s="2">
        <f t="shared" si="21"/>
        <v>519.10177335685671</v>
      </c>
      <c r="DQ15" s="2">
        <f t="shared" si="21"/>
        <v>508.71973788971957</v>
      </c>
      <c r="DR15" s="2">
        <f t="shared" si="21"/>
        <v>498.54534313192516</v>
      </c>
      <c r="DS15" s="2">
        <f t="shared" si="21"/>
        <v>488.57443626928665</v>
      </c>
      <c r="DT15" s="2">
        <f t="shared" si="21"/>
        <v>478.80294754390093</v>
      </c>
      <c r="DU15" s="2">
        <f t="shared" si="21"/>
        <v>469.22688859302292</v>
      </c>
      <c r="DV15" s="2">
        <f t="shared" si="21"/>
        <v>459.84235082116243</v>
      </c>
      <c r="DW15" s="2">
        <f t="shared" si="21"/>
        <v>450.64550380473918</v>
      </c>
      <c r="DX15" s="2">
        <f t="shared" si="21"/>
        <v>441.63259372864439</v>
      </c>
      <c r="DY15" s="2">
        <f t="shared" si="21"/>
        <v>432.79994185407151</v>
      </c>
      <c r="DZ15" s="2">
        <f t="shared" si="21"/>
        <v>424.14394301699008</v>
      </c>
      <c r="EA15" s="2">
        <f t="shared" si="21"/>
        <v>415.6610641566503</v>
      </c>
      <c r="EB15" s="2">
        <f t="shared" si="21"/>
        <v>407.34784287351727</v>
      </c>
      <c r="EC15" s="2">
        <f t="shared" si="21"/>
        <v>399.20088601604692</v>
      </c>
      <c r="ED15" s="2">
        <f t="shared" si="21"/>
        <v>391.21686829572599</v>
      </c>
      <c r="EE15" s="2">
        <f t="shared" si="21"/>
        <v>383.39253092981147</v>
      </c>
      <c r="EF15" s="2">
        <f t="shared" si="21"/>
        <v>375.72468031121525</v>
      </c>
      <c r="EG15" s="2">
        <f t="shared" si="21"/>
        <v>368.21018670499092</v>
      </c>
      <c r="EH15" s="2">
        <f t="shared" si="21"/>
        <v>360.8459829708911</v>
      </c>
      <c r="EI15" s="2">
        <f t="shared" si="21"/>
        <v>353.62906331147326</v>
      </c>
      <c r="EJ15" s="2">
        <f t="shared" si="21"/>
        <v>346.5564820452438</v>
      </c>
    </row>
    <row r="16" spans="1:140" x14ac:dyDescent="0.2">
      <c r="B16" s="2" t="s">
        <v>16</v>
      </c>
      <c r="C16" s="1"/>
      <c r="D16" s="1">
        <f>+D15/D17</f>
        <v>6.9620453770386561</v>
      </c>
      <c r="E16" s="1">
        <f>+E15/E17</f>
        <v>6.0202210676242318</v>
      </c>
      <c r="H16" s="1">
        <f>+H15/H17</f>
        <v>6.4718174489985723</v>
      </c>
      <c r="I16" s="1">
        <f>+I15/I17</f>
        <v>5.2983405710449558</v>
      </c>
      <c r="J16" s="1"/>
      <c r="K16" s="1"/>
    </row>
    <row r="17" spans="2:34" x14ac:dyDescent="0.2">
      <c r="B17" s="2" t="s">
        <v>1</v>
      </c>
      <c r="C17" s="2"/>
      <c r="D17" s="2">
        <v>49.848999999999997</v>
      </c>
      <c r="E17" s="2">
        <v>49.848999999999997</v>
      </c>
      <c r="F17" s="2"/>
      <c r="G17" s="2"/>
      <c r="H17" s="2">
        <v>48.381</v>
      </c>
      <c r="I17" s="2">
        <v>47.667000000000002</v>
      </c>
      <c r="J17" s="2"/>
      <c r="K17" s="2"/>
      <c r="M17" s="2">
        <v>62.850999999999999</v>
      </c>
      <c r="N17" s="2">
        <v>61.975000000000001</v>
      </c>
      <c r="O17" s="2">
        <v>60.180999999999997</v>
      </c>
      <c r="P17" s="2">
        <v>58.104999999999997</v>
      </c>
      <c r="Q17" s="2">
        <v>56.558</v>
      </c>
      <c r="R17" s="2">
        <v>54.841000000000001</v>
      </c>
    </row>
    <row r="19" spans="2:34" s="8" customFormat="1" x14ac:dyDescent="0.2">
      <c r="B19" s="6" t="s">
        <v>42</v>
      </c>
      <c r="N19" s="9">
        <f t="shared" ref="N19:P19" si="22">+N7/M7-1</f>
        <v>0.21211633091555737</v>
      </c>
      <c r="O19" s="9">
        <f t="shared" si="22"/>
        <v>0.14140677229320509</v>
      </c>
      <c r="P19" s="9">
        <f t="shared" si="22"/>
        <v>0.10145780277714311</v>
      </c>
      <c r="Q19" s="9">
        <f t="shared" ref="Q19:R19" si="23">+Q7/P7-1</f>
        <v>-0.16843789486660565</v>
      </c>
      <c r="R19" s="9">
        <f t="shared" si="23"/>
        <v>0.40295106285759963</v>
      </c>
      <c r="S19" s="9">
        <f>+S7/R7-1</f>
        <v>0.1827958858004084</v>
      </c>
      <c r="T19" s="9">
        <f>+T7/S7-1</f>
        <v>9.7831725861970975E-2</v>
      </c>
      <c r="U19" s="9">
        <f t="shared" ref="U19:AE19" si="24">+U7/T7-1</f>
        <v>5.0000000000000044E-2</v>
      </c>
      <c r="V19" s="9">
        <f t="shared" si="24"/>
        <v>5.0000000000000044E-2</v>
      </c>
      <c r="W19" s="9">
        <f t="shared" si="24"/>
        <v>5.0000000000000044E-2</v>
      </c>
      <c r="X19" s="9">
        <f t="shared" si="24"/>
        <v>5.0000000000000044E-2</v>
      </c>
      <c r="Y19" s="9">
        <f t="shared" si="24"/>
        <v>5.0000000000000044E-2</v>
      </c>
      <c r="Z19" s="9">
        <f t="shared" si="24"/>
        <v>5.0000000000000044E-2</v>
      </c>
      <c r="AA19" s="9">
        <f t="shared" si="24"/>
        <v>5.0000000000000044E-2</v>
      </c>
      <c r="AB19" s="9">
        <f t="shared" si="24"/>
        <v>5.0000000000000044E-2</v>
      </c>
      <c r="AC19" s="9">
        <f t="shared" si="24"/>
        <v>5.0000000000000044E-2</v>
      </c>
      <c r="AD19" s="9">
        <f t="shared" si="24"/>
        <v>5.0000000000000044E-2</v>
      </c>
      <c r="AE19" s="9">
        <f t="shared" si="24"/>
        <v>5.0000000000000044E-2</v>
      </c>
    </row>
    <row r="20" spans="2:34" x14ac:dyDescent="0.2">
      <c r="B20" s="2" t="s">
        <v>43</v>
      </c>
      <c r="N20" s="7">
        <f t="shared" ref="N20:P20" si="25">+N3/M3-1</f>
        <v>0.10266940451745388</v>
      </c>
      <c r="O20" s="7">
        <f t="shared" si="25"/>
        <v>9.3109869646182508E-2</v>
      </c>
      <c r="P20" s="7">
        <f t="shared" si="25"/>
        <v>6.8143100511073307E-2</v>
      </c>
      <c r="Q20" s="7">
        <f t="shared" ref="Q20:R20" si="26">+Q3/P3-1</f>
        <v>7.9744816586921896E-3</v>
      </c>
      <c r="R20" s="7">
        <f t="shared" si="26"/>
        <v>3.4810126582278444E-2</v>
      </c>
      <c r="S20" s="7">
        <f>+S3/R3-1</f>
        <v>3.5932721712538251E-2</v>
      </c>
      <c r="T20" s="7">
        <f>+T3/S3-1</f>
        <v>2.2140221402213944E-2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spans="2:34" x14ac:dyDescent="0.2">
      <c r="B21" s="2" t="s">
        <v>38</v>
      </c>
      <c r="C21" s="7"/>
      <c r="D21" s="7">
        <f>+D9/D7</f>
        <v>0.40043723804343001</v>
      </c>
      <c r="E21" s="7">
        <f>+E9/E7</f>
        <v>0.39276166698750786</v>
      </c>
      <c r="H21" s="7">
        <f>+H9/H7</f>
        <v>0.39245768656212671</v>
      </c>
      <c r="I21" s="7">
        <f>+I9/I7</f>
        <v>0.38328513095360772</v>
      </c>
      <c r="J21" s="7"/>
      <c r="K21" s="7"/>
      <c r="N21" s="7">
        <f t="shared" ref="N21:T21" si="27">+N9/N7</f>
        <v>0.35632710715224014</v>
      </c>
      <c r="O21" s="7">
        <f t="shared" si="27"/>
        <v>0.35870911165817898</v>
      </c>
      <c r="P21" s="7">
        <f t="shared" si="27"/>
        <v>0.36240056187642505</v>
      </c>
      <c r="Q21" s="7">
        <f t="shared" si="27"/>
        <v>0.316835808075907</v>
      </c>
      <c r="R21" s="7">
        <f t="shared" si="27"/>
        <v>0.39029050194018244</v>
      </c>
      <c r="S21" s="7">
        <f t="shared" si="27"/>
        <v>0.39618732477974411</v>
      </c>
      <c r="T21" s="7">
        <f t="shared" si="27"/>
        <v>0.39091474550121463</v>
      </c>
      <c r="U21" s="7">
        <f t="shared" ref="U21:AE21" si="28">+U9/U7</f>
        <v>0.4</v>
      </c>
      <c r="V21" s="7">
        <f t="shared" si="28"/>
        <v>0.4</v>
      </c>
      <c r="W21" s="7">
        <f t="shared" si="28"/>
        <v>0.4</v>
      </c>
      <c r="X21" s="7">
        <f t="shared" si="28"/>
        <v>0.4</v>
      </c>
      <c r="Y21" s="7">
        <f t="shared" si="28"/>
        <v>0.40000000000000008</v>
      </c>
      <c r="Z21" s="7">
        <f t="shared" si="28"/>
        <v>0.4</v>
      </c>
      <c r="AA21" s="7">
        <f t="shared" si="28"/>
        <v>0.4</v>
      </c>
      <c r="AB21" s="7">
        <f t="shared" si="28"/>
        <v>0.4</v>
      </c>
      <c r="AC21" s="7">
        <f t="shared" si="28"/>
        <v>0.4</v>
      </c>
      <c r="AD21" s="7">
        <f t="shared" si="28"/>
        <v>0.4</v>
      </c>
      <c r="AE21" s="7">
        <f t="shared" si="28"/>
        <v>0.4</v>
      </c>
    </row>
    <row r="22" spans="2:34" x14ac:dyDescent="0.2">
      <c r="B22" s="2" t="s">
        <v>44</v>
      </c>
      <c r="N22" s="7">
        <f>+N4/M4-1</f>
        <v>9.9256337348000878E-2</v>
      </c>
      <c r="O22" s="7">
        <f t="shared" ref="O22:T22" si="29">+O4/N4-1</f>
        <v>4.4183026782710577E-2</v>
      </c>
      <c r="P22" s="7">
        <f t="shared" si="29"/>
        <v>3.1189362408585275E-2</v>
      </c>
      <c r="Q22" s="7">
        <f t="shared" si="29"/>
        <v>-0.17501670898949662</v>
      </c>
      <c r="R22" s="7">
        <f t="shared" si="29"/>
        <v>0.35575699040673259</v>
      </c>
      <c r="S22" s="7">
        <f t="shared" si="29"/>
        <v>0.14176901743685177</v>
      </c>
      <c r="T22" s="7">
        <f t="shared" si="29"/>
        <v>7.4051977287343584E-2</v>
      </c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2:34" x14ac:dyDescent="0.2">
      <c r="AG23" t="s">
        <v>54</v>
      </c>
      <c r="AH23" s="7">
        <v>-0.02</v>
      </c>
    </row>
    <row r="24" spans="2:34" s="2" customFormat="1" x14ac:dyDescent="0.2">
      <c r="B24" s="2" t="s">
        <v>3</v>
      </c>
      <c r="I24" s="2">
        <v>413.96199999999999</v>
      </c>
      <c r="T24" s="2">
        <v>800</v>
      </c>
      <c r="U24" s="2">
        <f>+T24+U15</f>
        <v>2246.5428649999999</v>
      </c>
      <c r="V24" s="2">
        <f t="shared" ref="V24:AE24" si="30">+U24+V15</f>
        <v>3818.0776635125003</v>
      </c>
      <c r="W24" s="2">
        <f t="shared" si="30"/>
        <v>5522.8796530260315</v>
      </c>
      <c r="X24" s="2">
        <f t="shared" si="30"/>
        <v>7369.7170593931223</v>
      </c>
      <c r="Y24" s="2">
        <f t="shared" si="30"/>
        <v>9367.8788524968641</v>
      </c>
      <c r="Z24" s="2">
        <f t="shared" si="30"/>
        <v>11527.20403486889</v>
      </c>
      <c r="AA24" s="2">
        <f t="shared" si="30"/>
        <v>13858.112523852309</v>
      </c>
      <c r="AB24" s="2">
        <f t="shared" si="30"/>
        <v>16371.637712130221</v>
      </c>
      <c r="AC24" s="2">
        <f t="shared" si="30"/>
        <v>19079.460795886665</v>
      </c>
      <c r="AD24" s="2">
        <f t="shared" si="30"/>
        <v>21993.946964543735</v>
      </c>
      <c r="AE24" s="2">
        <f t="shared" si="30"/>
        <v>25128.183550937672</v>
      </c>
      <c r="AG24" s="2" t="s">
        <v>51</v>
      </c>
      <c r="AH24" s="7">
        <v>0.09</v>
      </c>
    </row>
    <row r="25" spans="2:34" s="2" customFormat="1" x14ac:dyDescent="0.2">
      <c r="B25" s="2" t="s">
        <v>19</v>
      </c>
      <c r="I25" s="2">
        <v>200.863</v>
      </c>
      <c r="AG25" s="2" t="s">
        <v>52</v>
      </c>
      <c r="AH25" s="7">
        <v>0.03</v>
      </c>
    </row>
    <row r="26" spans="2:34" s="2" customFormat="1" x14ac:dyDescent="0.2">
      <c r="B26" s="2" t="s">
        <v>20</v>
      </c>
      <c r="I26" s="2">
        <v>1998.2860000000001</v>
      </c>
      <c r="AG26" s="2" t="s">
        <v>53</v>
      </c>
      <c r="AH26" s="2">
        <f>NPV(AH24,U15:DZ15)</f>
        <v>24910.697622906329</v>
      </c>
    </row>
    <row r="27" spans="2:34" s="2" customFormat="1" x14ac:dyDescent="0.2">
      <c r="B27" s="2" t="s">
        <v>21</v>
      </c>
      <c r="I27" s="2">
        <v>132.023</v>
      </c>
      <c r="AG27" s="2" t="s">
        <v>62</v>
      </c>
      <c r="AH27" s="2">
        <f>AH26/Main!L3</f>
        <v>528.72422720196016</v>
      </c>
    </row>
    <row r="28" spans="2:34" s="2" customFormat="1" x14ac:dyDescent="0.2">
      <c r="B28" s="2" t="s">
        <v>14</v>
      </c>
      <c r="I28" s="2">
        <v>53.606999999999999</v>
      </c>
      <c r="AG28" s="2" t="s">
        <v>63</v>
      </c>
      <c r="AH28" s="7">
        <f>AH27/Main!L2-1</f>
        <v>0.4328569842871548</v>
      </c>
    </row>
    <row r="29" spans="2:34" s="2" customFormat="1" x14ac:dyDescent="0.2">
      <c r="B29" s="2" t="s">
        <v>22</v>
      </c>
      <c r="I29" s="2">
        <v>1225.8499999999999</v>
      </c>
    </row>
    <row r="30" spans="2:34" s="2" customFormat="1" x14ac:dyDescent="0.2">
      <c r="B30" s="2" t="s">
        <v>23</v>
      </c>
      <c r="I30" s="2">
        <v>1599.7349999999999</v>
      </c>
    </row>
    <row r="31" spans="2:34" s="2" customFormat="1" x14ac:dyDescent="0.2">
      <c r="B31" s="2" t="s">
        <v>24</v>
      </c>
      <c r="I31" s="2">
        <f>10.87+0.357</f>
        <v>11.226999999999999</v>
      </c>
    </row>
    <row r="32" spans="2:34" s="2" customFormat="1" x14ac:dyDescent="0.2">
      <c r="B32" s="2" t="s">
        <v>26</v>
      </c>
      <c r="I32" s="2">
        <v>46.28</v>
      </c>
    </row>
    <row r="33" spans="2:20" s="2" customFormat="1" x14ac:dyDescent="0.2">
      <c r="B33" s="2" t="s">
        <v>18</v>
      </c>
      <c r="I33" s="2">
        <v>55.575000000000003</v>
      </c>
    </row>
    <row r="34" spans="2:20" s="2" customFormat="1" x14ac:dyDescent="0.2">
      <c r="B34" s="2" t="s">
        <v>17</v>
      </c>
      <c r="I34" s="2">
        <f>SUM(I24:I33)</f>
        <v>5737.4079999999994</v>
      </c>
    </row>
    <row r="36" spans="2:20" x14ac:dyDescent="0.2">
      <c r="B36" s="2" t="s">
        <v>25</v>
      </c>
      <c r="I36" s="2">
        <v>566.904</v>
      </c>
      <c r="J36" s="2"/>
      <c r="K36" s="2"/>
    </row>
    <row r="37" spans="2:20" x14ac:dyDescent="0.2">
      <c r="B37" s="2" t="s">
        <v>27</v>
      </c>
      <c r="I37" s="2">
        <v>348.04199999999997</v>
      </c>
      <c r="J37" s="2"/>
      <c r="K37" s="2"/>
    </row>
    <row r="38" spans="2:20" x14ac:dyDescent="0.2">
      <c r="B38" s="2" t="s">
        <v>28</v>
      </c>
      <c r="I38" s="2">
        <v>394.98700000000002</v>
      </c>
      <c r="J38" s="2"/>
      <c r="K38" s="2"/>
    </row>
    <row r="39" spans="2:20" x14ac:dyDescent="0.2">
      <c r="B39" s="2" t="s">
        <v>23</v>
      </c>
      <c r="I39" s="2">
        <f>281.301+1647.698</f>
        <v>1928.999</v>
      </c>
      <c r="J39" s="2"/>
      <c r="K39" s="2"/>
    </row>
    <row r="40" spans="2:20" x14ac:dyDescent="0.2">
      <c r="B40" s="2" t="s">
        <v>32</v>
      </c>
      <c r="I40" s="2">
        <v>88.460999999999999</v>
      </c>
      <c r="J40" s="2"/>
      <c r="K40" s="2"/>
    </row>
    <row r="41" spans="2:20" x14ac:dyDescent="0.2">
      <c r="B41" s="2" t="s">
        <v>31</v>
      </c>
      <c r="I41" s="2">
        <v>61.854999999999997</v>
      </c>
      <c r="J41" s="2"/>
      <c r="K41" s="2"/>
    </row>
    <row r="42" spans="2:20" x14ac:dyDescent="0.2">
      <c r="B42" s="2" t="s">
        <v>30</v>
      </c>
      <c r="I42" s="2">
        <v>2348.16</v>
      </c>
      <c r="J42" s="2"/>
      <c r="K42" s="2"/>
    </row>
    <row r="43" spans="2:20" x14ac:dyDescent="0.2">
      <c r="B43" t="s">
        <v>29</v>
      </c>
      <c r="I43" s="2">
        <f>SUM(I36:I42)</f>
        <v>5737.4079999999994</v>
      </c>
      <c r="J43" s="2"/>
      <c r="K43" s="2"/>
    </row>
    <row r="46" spans="2:20" x14ac:dyDescent="0.2">
      <c r="B46" t="s">
        <v>34</v>
      </c>
      <c r="H46" s="2">
        <v>159.34</v>
      </c>
      <c r="I46" s="2">
        <f>358.879-H46</f>
        <v>199.53900000000002</v>
      </c>
      <c r="J46" s="2"/>
      <c r="K46" s="2"/>
      <c r="R46" s="2">
        <v>1059.2650000000001</v>
      </c>
      <c r="S46" s="2">
        <v>1481.915</v>
      </c>
      <c r="T46" s="2">
        <v>1476.2660000000001</v>
      </c>
    </row>
    <row r="47" spans="2:20" x14ac:dyDescent="0.2">
      <c r="B47" t="s">
        <v>35</v>
      </c>
      <c r="H47" s="2">
        <v>91.024000000000001</v>
      </c>
      <c r="I47" s="2">
        <f>186.301-H47</f>
        <v>95.276999999999987</v>
      </c>
      <c r="J47" s="2"/>
      <c r="K47" s="2"/>
      <c r="R47" s="2">
        <v>172.18700000000001</v>
      </c>
      <c r="S47" s="2">
        <v>312.12599999999998</v>
      </c>
      <c r="T47" s="2">
        <v>435.267</v>
      </c>
    </row>
    <row r="48" spans="2:20" x14ac:dyDescent="0.2">
      <c r="B48" t="s">
        <v>36</v>
      </c>
      <c r="H48" s="2">
        <f>+H46-H47</f>
        <v>68.316000000000003</v>
      </c>
      <c r="I48" s="2">
        <f>+I46-I47</f>
        <v>104.26200000000003</v>
      </c>
      <c r="J48" s="2"/>
      <c r="K48" s="2"/>
      <c r="R48" s="2">
        <f>+R46-R47</f>
        <v>887.07800000000009</v>
      </c>
      <c r="S48" s="2">
        <f>+S46-S47</f>
        <v>1169.789</v>
      </c>
      <c r="T48" s="2">
        <f>+T46-T47</f>
        <v>1040.999</v>
      </c>
    </row>
  </sheetData>
  <hyperlinks>
    <hyperlink ref="A1" location="Main!A1" display="Main" xr:uid="{1AAD5E3B-C358-44F7-B262-13093BAE5961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2024-10-14T16:10:02Z</dcterms:created>
  <dcterms:modified xsi:type="dcterms:W3CDTF">2025-10-16T17:17:42Z</dcterms:modified>
</cp:coreProperties>
</file>