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A9236CC3-4385-4814-BEF7-7F3C78D3F8AE}" xr6:coauthVersionLast="47" xr6:coauthVersionMax="47" xr10:uidLastSave="{00000000-0000-0000-0000-000000000000}"/>
  <bookViews>
    <workbookView xWindow="3120" yWindow="3120" windowWidth="18075" windowHeight="16020" activeTab="1" xr2:uid="{04FE48EC-24E3-4318-82CA-AE691D8B8F65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2" i="2" l="1"/>
  <c r="AD40" i="2"/>
  <c r="AD41" i="2" s="1"/>
  <c r="AD39" i="2"/>
  <c r="AH40" i="2"/>
  <c r="AC9" i="2"/>
  <c r="AB9" i="2"/>
  <c r="AA9" i="2"/>
  <c r="AC5" i="2"/>
  <c r="AB5" i="2"/>
  <c r="AA5" i="2"/>
  <c r="AD9" i="2"/>
  <c r="AD5" i="2"/>
  <c r="AC42" i="2"/>
  <c r="AC40" i="2"/>
  <c r="AC41" i="2" s="1"/>
  <c r="AC39" i="2"/>
  <c r="AG40" i="2"/>
  <c r="AE97" i="2"/>
  <c r="AF97" i="2"/>
  <c r="AI97" i="2"/>
  <c r="AH95" i="2"/>
  <c r="AG95" i="2"/>
  <c r="AI93" i="2"/>
  <c r="AI95" i="2" s="1"/>
  <c r="AH93" i="2"/>
  <c r="AG93" i="2"/>
  <c r="AI85" i="2" l="1"/>
  <c r="AI80" i="2"/>
  <c r="AI78" i="2"/>
  <c r="AI77" i="2"/>
  <c r="AI70" i="2"/>
  <c r="AI67" i="2"/>
  <c r="AI68" i="2" s="1"/>
  <c r="AH68" i="2"/>
  <c r="AG68" i="2"/>
  <c r="AI62" i="2"/>
  <c r="AI50" i="2"/>
  <c r="AI56" i="2"/>
  <c r="AJ58" i="2"/>
  <c r="AI58" i="2"/>
  <c r="AH58" i="2"/>
  <c r="AG58" i="2"/>
  <c r="AE5" i="2"/>
  <c r="AE9" i="2"/>
  <c r="AJ47" i="2"/>
  <c r="AI47" i="2"/>
  <c r="AI40" i="2"/>
  <c r="AJ9" i="2"/>
  <c r="AI9" i="2"/>
  <c r="AH9" i="2"/>
  <c r="AG9" i="2"/>
  <c r="AJ5" i="2"/>
  <c r="AI5" i="2"/>
  <c r="AH5" i="2"/>
  <c r="AG5" i="2"/>
  <c r="AF9" i="2"/>
  <c r="AF5" i="2"/>
  <c r="AJ45" i="2"/>
  <c r="AI45" i="2"/>
  <c r="AJ40" i="2"/>
  <c r="AJ41" i="2"/>
  <c r="AJ42" i="2" s="1"/>
  <c r="AJ39" i="2"/>
  <c r="AJ36" i="2"/>
  <c r="AJ37" i="2" s="1"/>
  <c r="AI36" i="2"/>
  <c r="AJ32" i="2"/>
  <c r="AI32" i="2"/>
  <c r="AQ92" i="2"/>
  <c r="AR92" i="2"/>
  <c r="AR90" i="2"/>
  <c r="AQ90" i="2"/>
  <c r="AQ93" i="2"/>
  <c r="AQ80" i="2"/>
  <c r="AQ85" i="2" s="1"/>
  <c r="AQ77" i="2"/>
  <c r="AQ78" i="2" s="1"/>
  <c r="AQ97" i="2" s="1"/>
  <c r="AR48" i="2"/>
  <c r="AQ45" i="2"/>
  <c r="AQ36" i="2"/>
  <c r="AQ32" i="2"/>
  <c r="AR93" i="2"/>
  <c r="AR83" i="2"/>
  <c r="AR80" i="2"/>
  <c r="AR85" i="2" s="1"/>
  <c r="AR77" i="2"/>
  <c r="AR78" i="2" s="1"/>
  <c r="AR97" i="2" s="1"/>
  <c r="AS48" i="2"/>
  <c r="AR45" i="2"/>
  <c r="AR36" i="2"/>
  <c r="AR32" i="2"/>
  <c r="AR47" i="2" s="1"/>
  <c r="AV45" i="2"/>
  <c r="AU45" i="2"/>
  <c r="AT45" i="2"/>
  <c r="AS45" i="2"/>
  <c r="AS90" i="2"/>
  <c r="AS92" i="2"/>
  <c r="AS83" i="2"/>
  <c r="AS80" i="2"/>
  <c r="AS85" i="2" s="1"/>
  <c r="AS77" i="2"/>
  <c r="AS78" i="2" s="1"/>
  <c r="AS97" i="2" s="1"/>
  <c r="AS36" i="2"/>
  <c r="AT48" i="2"/>
  <c r="AS32" i="2"/>
  <c r="AV9" i="2"/>
  <c r="AU9" i="2"/>
  <c r="AT9" i="2"/>
  <c r="AV5" i="2"/>
  <c r="AU5" i="2"/>
  <c r="AT5" i="2"/>
  <c r="AV48" i="2"/>
  <c r="AU48" i="2"/>
  <c r="AT92" i="2"/>
  <c r="AT90" i="2"/>
  <c r="AT83" i="2"/>
  <c r="AT80" i="2"/>
  <c r="AT93" i="2"/>
  <c r="AT85" i="2"/>
  <c r="AT77" i="2"/>
  <c r="AT76" i="2"/>
  <c r="AT78" i="2"/>
  <c r="AT97" i="2" s="1"/>
  <c r="AU92" i="2"/>
  <c r="AU90" i="2"/>
  <c r="AU83" i="2"/>
  <c r="AU80" i="2"/>
  <c r="AU85" i="2" s="1"/>
  <c r="AU93" i="2"/>
  <c r="AU77" i="2"/>
  <c r="AU76" i="2"/>
  <c r="AU78" i="2"/>
  <c r="AU97" i="2" s="1"/>
  <c r="AU67" i="2"/>
  <c r="AU62" i="2"/>
  <c r="AU68" i="2" s="1"/>
  <c r="AU56" i="2"/>
  <c r="AU50" i="2"/>
  <c r="AV92" i="2"/>
  <c r="AV90" i="2"/>
  <c r="AV93" i="2" s="1"/>
  <c r="AV83" i="2"/>
  <c r="AV84" i="2"/>
  <c r="AV80" i="2"/>
  <c r="AV77" i="2"/>
  <c r="AV76" i="2"/>
  <c r="AV78" i="2" s="1"/>
  <c r="AV97" i="2" s="1"/>
  <c r="AV67" i="2"/>
  <c r="AV62" i="2"/>
  <c r="AV68" i="2" s="1"/>
  <c r="AV50" i="2"/>
  <c r="AV56" i="2"/>
  <c r="AT36" i="2"/>
  <c r="AU36" i="2"/>
  <c r="AV36" i="2"/>
  <c r="AT32" i="2"/>
  <c r="AU32" i="2"/>
  <c r="AV32" i="2"/>
  <c r="AS2" i="2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AF50" i="2"/>
  <c r="AF94" i="2"/>
  <c r="AF92" i="2"/>
  <c r="AF91" i="2"/>
  <c r="AF90" i="2"/>
  <c r="AF89" i="2"/>
  <c r="AF88" i="2"/>
  <c r="AF87" i="2"/>
  <c r="AF84" i="2"/>
  <c r="AF83" i="2"/>
  <c r="AF82" i="2"/>
  <c r="AF81" i="2"/>
  <c r="AF76" i="2"/>
  <c r="AF75" i="2"/>
  <c r="AF74" i="2"/>
  <c r="AF73" i="2"/>
  <c r="AF72" i="2"/>
  <c r="AF71" i="2"/>
  <c r="AE90" i="2"/>
  <c r="AE93" i="2" s="1"/>
  <c r="AE77" i="2"/>
  <c r="AF77" i="2" s="1"/>
  <c r="AE80" i="2"/>
  <c r="AF80" i="2" s="1"/>
  <c r="AE48" i="2"/>
  <c r="AA40" i="2"/>
  <c r="AA36" i="2"/>
  <c r="AA32" i="2"/>
  <c r="AA37" i="2" s="1"/>
  <c r="AA39" i="2" s="1"/>
  <c r="AE40" i="2"/>
  <c r="AE36" i="2"/>
  <c r="AE32" i="2"/>
  <c r="AE67" i="2"/>
  <c r="AE62" i="2"/>
  <c r="AE68" i="2" s="1"/>
  <c r="AE50" i="2"/>
  <c r="AE56" i="2"/>
  <c r="AF48" i="2"/>
  <c r="AB40" i="2"/>
  <c r="AB36" i="2"/>
  <c r="AB32" i="2"/>
  <c r="AH45" i="2"/>
  <c r="AG45" i="2"/>
  <c r="AF45" i="2"/>
  <c r="AE45" i="2"/>
  <c r="AD45" i="2"/>
  <c r="AC45" i="2"/>
  <c r="AB45" i="2"/>
  <c r="AA45" i="2"/>
  <c r="Z45" i="2"/>
  <c r="Y45" i="2"/>
  <c r="AF40" i="2"/>
  <c r="AH36" i="2"/>
  <c r="AG36" i="2"/>
  <c r="AF36" i="2"/>
  <c r="AD36" i="2"/>
  <c r="AC36" i="2"/>
  <c r="Z36" i="2"/>
  <c r="Y36" i="2"/>
  <c r="AF67" i="2"/>
  <c r="AF62" i="2"/>
  <c r="AF68" i="2" s="1"/>
  <c r="AF56" i="2"/>
  <c r="AH32" i="2"/>
  <c r="AG32" i="2"/>
  <c r="AF32" i="2"/>
  <c r="AD32" i="2"/>
  <c r="AC32" i="2"/>
  <c r="Z32" i="2"/>
  <c r="Y32" i="2"/>
  <c r="D81" i="2"/>
  <c r="E81" i="2" s="1"/>
  <c r="W48" i="2"/>
  <c r="S40" i="2"/>
  <c r="S45" i="2"/>
  <c r="S36" i="2"/>
  <c r="S32" i="2"/>
  <c r="W45" i="2"/>
  <c r="W40" i="2"/>
  <c r="W36" i="2"/>
  <c r="W32" i="2"/>
  <c r="W67" i="2"/>
  <c r="W62" i="2"/>
  <c r="W56" i="2"/>
  <c r="W50" i="2"/>
  <c r="X67" i="2"/>
  <c r="X62" i="2"/>
  <c r="X56" i="2"/>
  <c r="X50" i="2"/>
  <c r="AH47" i="2" l="1"/>
  <c r="AG47" i="2"/>
  <c r="AI37" i="2"/>
  <c r="AI39" i="2" s="1"/>
  <c r="AI41" i="2" s="1"/>
  <c r="AI42" i="2" s="1"/>
  <c r="AF58" i="2"/>
  <c r="AT47" i="2"/>
  <c r="AV85" i="2"/>
  <c r="AV47" i="2"/>
  <c r="W58" i="2"/>
  <c r="AV37" i="2"/>
  <c r="AV39" i="2" s="1"/>
  <c r="AV41" i="2" s="1"/>
  <c r="AE85" i="2"/>
  <c r="AU37" i="2"/>
  <c r="AU39" i="2" s="1"/>
  <c r="AU41" i="2" s="1"/>
  <c r="AF85" i="2"/>
  <c r="AQ95" i="2"/>
  <c r="AF93" i="2"/>
  <c r="AU58" i="2"/>
  <c r="AS47" i="2"/>
  <c r="AQ37" i="2"/>
  <c r="AQ39" i="2" s="1"/>
  <c r="AQ41" i="2" s="1"/>
  <c r="AV95" i="2"/>
  <c r="AV42" i="2"/>
  <c r="AV70" i="2"/>
  <c r="AU42" i="2"/>
  <c r="AU70" i="2"/>
  <c r="AT37" i="2"/>
  <c r="AT39" i="2" s="1"/>
  <c r="AT41" i="2" s="1"/>
  <c r="AU47" i="2"/>
  <c r="AV58" i="2"/>
  <c r="AS37" i="2"/>
  <c r="AS39" i="2" s="1"/>
  <c r="AS41" i="2" s="1"/>
  <c r="AR95" i="2"/>
  <c r="AR37" i="2"/>
  <c r="AR39" i="2" s="1"/>
  <c r="AR41" i="2" s="1"/>
  <c r="AS93" i="2"/>
  <c r="AS95" i="2" s="1"/>
  <c r="AT42" i="2"/>
  <c r="AT70" i="2"/>
  <c r="AT95" i="2"/>
  <c r="AU95" i="2"/>
  <c r="AF78" i="2"/>
  <c r="AF95" i="2" s="1"/>
  <c r="AE78" i="2"/>
  <c r="AE95" i="2" s="1"/>
  <c r="AF47" i="2"/>
  <c r="AH37" i="2"/>
  <c r="AH39" i="2" s="1"/>
  <c r="AH41" i="2" s="1"/>
  <c r="AA41" i="2"/>
  <c r="AA42" i="2" s="1"/>
  <c r="AE47" i="2"/>
  <c r="AE58" i="2"/>
  <c r="Y37" i="2"/>
  <c r="Z37" i="2"/>
  <c r="AC37" i="2"/>
  <c r="AD37" i="2"/>
  <c r="AF37" i="2"/>
  <c r="AF39" i="2" s="1"/>
  <c r="AF41" i="2" s="1"/>
  <c r="AG37" i="2"/>
  <c r="AG39" i="2" s="1"/>
  <c r="AG41" i="2" s="1"/>
  <c r="AE37" i="2"/>
  <c r="AE39" i="2" s="1"/>
  <c r="AE41" i="2" s="1"/>
  <c r="AB37" i="2"/>
  <c r="AB39" i="2" s="1"/>
  <c r="AB41" i="2" s="1"/>
  <c r="AB42" i="2" s="1"/>
  <c r="X58" i="2"/>
  <c r="X68" i="2"/>
  <c r="S37" i="2"/>
  <c r="S39" i="2" s="1"/>
  <c r="S41" i="2" s="1"/>
  <c r="S42" i="2" s="1"/>
  <c r="W47" i="2"/>
  <c r="W37" i="2"/>
  <c r="W39" i="2" s="1"/>
  <c r="W41" i="2" s="1"/>
  <c r="W42" i="2" s="1"/>
  <c r="W68" i="2"/>
  <c r="AH70" i="2" l="1"/>
  <c r="AH42" i="2"/>
  <c r="AG70" i="2"/>
  <c r="AG42" i="2"/>
  <c r="AQ42" i="2"/>
  <c r="AQ70" i="2"/>
  <c r="AS42" i="2"/>
  <c r="AS70" i="2"/>
  <c r="AR42" i="2"/>
  <c r="AR70" i="2"/>
  <c r="AF42" i="2"/>
  <c r="AF70" i="2"/>
  <c r="AE42" i="2"/>
  <c r="AE70" i="2"/>
  <c r="X9" i="2"/>
  <c r="W9" i="2"/>
  <c r="V9" i="2"/>
  <c r="T9" i="2"/>
  <c r="X5" i="2"/>
  <c r="W5" i="2"/>
  <c r="V5" i="2"/>
  <c r="T5" i="2"/>
  <c r="M4" i="1"/>
  <c r="M7" i="1" s="1"/>
  <c r="X48" i="2"/>
  <c r="X45" i="2"/>
  <c r="T45" i="2"/>
  <c r="T26" i="2"/>
  <c r="X26" i="2"/>
  <c r="T36" i="2"/>
  <c r="X36" i="2"/>
  <c r="T32" i="2"/>
  <c r="X32" i="2"/>
  <c r="X37" i="2" l="1"/>
  <c r="X39" i="2" s="1"/>
  <c r="X41" i="2" s="1"/>
  <c r="X42" i="2" s="1"/>
  <c r="X47" i="2"/>
  <c r="T37" i="2"/>
  <c r="T39" i="2" s="1"/>
  <c r="T41" i="2" s="1"/>
  <c r="T42" i="2" s="1"/>
</calcChain>
</file>

<file path=xl/sharedStrings.xml><?xml version="1.0" encoding="utf-8"?>
<sst xmlns="http://schemas.openxmlformats.org/spreadsheetml/2006/main" count="130" uniqueCount="119">
  <si>
    <t>Price</t>
  </si>
  <si>
    <t>Shares</t>
  </si>
  <si>
    <t>MC</t>
  </si>
  <si>
    <t>Cash</t>
  </si>
  <si>
    <t>Debt</t>
  </si>
  <si>
    <t>EV</t>
  </si>
  <si>
    <t>Main</t>
  </si>
  <si>
    <t>Premiums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</si>
  <si>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</si>
  <si>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</si>
  <si>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</si>
  <si>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</si>
  <si>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</si>
  <si>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</si>
  <si>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</si>
  <si>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</si>
  <si>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</si>
  <si>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</si>
  <si>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</si>
  <si>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</si>
  <si>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Products</t>
  </si>
  <si>
    <t>Investment</t>
  </si>
  <si>
    <t>Services</t>
  </si>
  <si>
    <t>Revenue</t>
  </si>
  <si>
    <t>Medical</t>
  </si>
  <si>
    <t>Operating</t>
  </si>
  <si>
    <t>COPS</t>
  </si>
  <si>
    <t>OpEx</t>
  </si>
  <si>
    <t>Pretax</t>
  </si>
  <si>
    <t>Interest</t>
  </si>
  <si>
    <t>OpInc</t>
  </si>
  <si>
    <t>Taxes</t>
  </si>
  <si>
    <t>Net Income</t>
  </si>
  <si>
    <t>EPS</t>
  </si>
  <si>
    <t>Premiums-Medical</t>
  </si>
  <si>
    <t>MLR</t>
  </si>
  <si>
    <t>Revenue y/y</t>
  </si>
  <si>
    <t>Premiums y/y</t>
  </si>
  <si>
    <t>E&amp;I Domestic</t>
  </si>
  <si>
    <t>E&amp;I Global</t>
  </si>
  <si>
    <t>Medicare &amp; Retirement</t>
  </si>
  <si>
    <t>Community &amp; State</t>
  </si>
  <si>
    <t>Optum</t>
  </si>
  <si>
    <t xml:space="preserve">  Optum Health</t>
  </si>
  <si>
    <t xml:space="preserve">  Optum Insight</t>
  </si>
  <si>
    <t xml:space="preserve">  Optum Rx</t>
  </si>
  <si>
    <t>Members Risk-based</t>
  </si>
  <si>
    <t>Members Fee-based</t>
  </si>
  <si>
    <t>Commercial Domestic</t>
  </si>
  <si>
    <t>Medicare Advantage</t>
  </si>
  <si>
    <t>Medcaid</t>
  </si>
  <si>
    <t>Medicare Supplement</t>
  </si>
  <si>
    <t>Community &amp; Senior</t>
  </si>
  <si>
    <t>Commercial Global</t>
  </si>
  <si>
    <t>Part D</t>
  </si>
  <si>
    <t>Optum Health Customers</t>
  </si>
  <si>
    <t>Optum Backlog</t>
  </si>
  <si>
    <t>Optum Rx</t>
  </si>
  <si>
    <t>Assets</t>
  </si>
  <si>
    <t>AR</t>
  </si>
  <si>
    <t>Other Receivables</t>
  </si>
  <si>
    <t>AUM</t>
  </si>
  <si>
    <t>Prepaids</t>
  </si>
  <si>
    <t>PP&amp;E</t>
  </si>
  <si>
    <t>Goodwill</t>
  </si>
  <si>
    <t>Other Assets</t>
  </si>
  <si>
    <t>Medical Costs</t>
  </si>
  <si>
    <t>AP</t>
  </si>
  <si>
    <t>DR</t>
  </si>
  <si>
    <t>OCL</t>
  </si>
  <si>
    <t>DT</t>
  </si>
  <si>
    <t>OL</t>
  </si>
  <si>
    <t>SE</t>
  </si>
  <si>
    <t>L+SE</t>
  </si>
  <si>
    <t>Q119</t>
  </si>
  <si>
    <t>Q219</t>
  </si>
  <si>
    <t>Q319</t>
  </si>
  <si>
    <t>Q419</t>
  </si>
  <si>
    <t>Q418</t>
  </si>
  <si>
    <t>Q318</t>
  </si>
  <si>
    <t>Q218</t>
  </si>
  <si>
    <t>Q118</t>
  </si>
  <si>
    <t>Q117</t>
  </si>
  <si>
    <t>Q217</t>
  </si>
  <si>
    <t>Q317</t>
  </si>
  <si>
    <t>Acquisitions</t>
  </si>
  <si>
    <t>Q123</t>
  </si>
  <si>
    <t>Q223</t>
  </si>
  <si>
    <t>Q323</t>
  </si>
  <si>
    <t>Q423</t>
  </si>
  <si>
    <t>Q124</t>
  </si>
  <si>
    <t>Q224</t>
  </si>
  <si>
    <t>Q324</t>
  </si>
  <si>
    <t>Q424</t>
  </si>
  <si>
    <t>Model NI</t>
  </si>
  <si>
    <t>CFFO</t>
  </si>
  <si>
    <t>Investments</t>
  </si>
  <si>
    <t>CFFI</t>
  </si>
  <si>
    <t>Other</t>
  </si>
  <si>
    <t>CapEx</t>
  </si>
  <si>
    <t>Reported NI</t>
  </si>
  <si>
    <t>D&amp;A</t>
  </si>
  <si>
    <t>SBC</t>
  </si>
  <si>
    <t>Loss on Subsidiary</t>
  </si>
  <si>
    <t>WC</t>
  </si>
  <si>
    <t>Buybacks</t>
  </si>
  <si>
    <t>Dividends</t>
  </si>
  <si>
    <t>Stock Issuances</t>
  </si>
  <si>
    <t>Customer Funds</t>
  </si>
  <si>
    <t>CFFF</t>
  </si>
  <si>
    <t>FX</t>
  </si>
  <si>
    <t>CIC</t>
  </si>
  <si>
    <t>Cyberattack</t>
  </si>
  <si>
    <t>CEO: Andrew Witty</t>
  </si>
  <si>
    <t>FCF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</si>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</sst>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49EB731-8041-4370-8EC6-DFDE759F8A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29957</xdr:colOff>
      <xdr:row>0</xdr:row>
      <xdr:rowOff>0</xdr:rowOff>
    </xdr:from>
    <xdr:to>
      <xdr:col>36</xdr:col>
      <xdr:colOff>29957</xdr:colOff>
      <xdr:row>105</xdr:row>
      <xdr:rowOff>33130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F24201A-BCC3-CA07-872F-3D69A1F2FF36}"/>
            </a:ext>
          </a:extLst>
        </xdr:cNvPr>
        <xdr:cNvCxnSpPr/>
      </xdr:nvCxnSpPr>
      <xdr:spPr>
        <a:xfrm>
          <a:off x="23489238" y="0"/>
          <a:ext cx="0" cy="167495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22087</xdr:colOff>
      <xdr:row>0</xdr:row>
      <xdr:rowOff>66261</xdr:rowOff>
    </xdr:from>
    <xdr:to>
      <xdr:col>48</xdr:col>
      <xdr:colOff>22087</xdr:colOff>
      <xdr:row>111</xdr:row>
      <xdr:rowOff>11044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49D5D2C-EBF1-AECE-9C9A-542D19E61DF0}"/>
            </a:ext>
          </a:extLst>
        </xdr:cNvPr>
        <xdr:cNvCxnSpPr/>
      </xdr:nvCxnSpPr>
      <xdr:spPr>
        <a:xfrm>
          <a:off x="27028913" y="66261"/>
          <a:ext cx="0" cy="177358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3C4E-9822-4718-A83E-52B4DD123491}">
  <dimension ref="L2:N10"/>
  <sheetViews>
    <sheetView zoomScaleNormal="100" workbookViewId="0">
      <selection activeCell="N7" sqref="N7"/>
    </sheetView>
  </sheetViews>
  <sheetFormatPr defaultRowHeight="12.75" x14ac:dyDescent="0.2"/>
  <cols>
    <col min="1" max="1" width="3" customWidth="1"/>
  </cols>
  <sheetData>
    <row r="2" spans="12:14" x14ac:dyDescent="0.2">
      <c r="L2" t="s">
        <v>0</v>
      </c>
      <c r="M2" s="1">
        <v>259.64</v>
      </c>
    </row>
    <row r="3" spans="12:14" x14ac:dyDescent="0.2">
      <c r="L3" t="s">
        <v>1</v>
      </c>
      <c r="M3" s="3">
        <v>929</v>
      </c>
      <c r="N3" s="2" t="s">
        <v>115</v>
      </c>
    </row>
    <row r="4" spans="12:14" x14ac:dyDescent="0.2">
      <c r="L4" t="s">
        <v>2</v>
      </c>
      <c r="M4" s="3">
        <f>+M2*M3</f>
        <v>241205.56</v>
      </c>
    </row>
    <row r="5" spans="12:14" x14ac:dyDescent="0.2">
      <c r="L5" t="s">
        <v>3</v>
      </c>
      <c r="M5" s="3">
        <v>81467</v>
      </c>
      <c r="N5" s="2" t="s">
        <v>115</v>
      </c>
    </row>
    <row r="6" spans="12:14" x14ac:dyDescent="0.2">
      <c r="L6" t="s">
        <v>4</v>
      </c>
      <c r="M6" s="3">
        <v>76904</v>
      </c>
      <c r="N6" s="2" t="s">
        <v>115</v>
      </c>
    </row>
    <row r="7" spans="12:14" x14ac:dyDescent="0.2">
      <c r="L7" t="s">
        <v>5</v>
      </c>
      <c r="M7" s="3">
        <f>+M4-M5+M6</f>
        <v>236642.56</v>
      </c>
    </row>
    <row r="10" spans="12:14" x14ac:dyDescent="0.2">
      <c r="L10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7AAE-9570-49D1-9F3C-CCC93C2EDF11}">
  <dimension ref="A1:BC97"/>
  <sheetViews>
    <sheetView tabSelected="1" zoomScaleNormal="100" workbookViewId="0">
      <pane xSplit="2" ySplit="2" topLeftCell="AO3" activePane="bottomRight" state="frozen"/>
      <selection pane="topRight" activeCell="C1" sqref="C1"/>
      <selection pane="bottomLeft" activeCell="A3" sqref="A3"/>
      <selection pane="bottomRight" activeCell="AW32" sqref="AW32"/>
    </sheetView>
  </sheetViews>
  <sheetFormatPr defaultRowHeight="12.75" x14ac:dyDescent="0.2"/>
  <cols>
    <col min="1" max="1" width="5" bestFit="1" customWidth="1"/>
    <col min="2" max="2" width="22.42578125" customWidth="1"/>
    <col min="3" max="26" width="9.140625" style="2"/>
  </cols>
  <sheetData>
    <row r="1" spans="1:55" x14ac:dyDescent="0.2">
      <c r="A1" s="11" t="s">
        <v>6</v>
      </c>
    </row>
    <row r="2" spans="1:55" x14ac:dyDescent="0.2">
      <c r="C2" s="2" t="s">
        <v>82</v>
      </c>
      <c r="D2" s="2" t="s">
        <v>83</v>
      </c>
      <c r="E2" s="2" t="s">
        <v>84</v>
      </c>
      <c r="F2" s="2" t="s">
        <v>78</v>
      </c>
      <c r="G2" s="2" t="s">
        <v>81</v>
      </c>
      <c r="H2" s="2" t="s">
        <v>80</v>
      </c>
      <c r="I2" s="2" t="s">
        <v>79</v>
      </c>
      <c r="J2" s="2" t="s">
        <v>78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15</v>
      </c>
      <c r="W2" s="2" t="s">
        <v>16</v>
      </c>
      <c r="X2" s="2" t="s">
        <v>17</v>
      </c>
      <c r="Y2" s="2" t="s">
        <v>18</v>
      </c>
      <c r="Z2" s="2" t="s">
        <v>19</v>
      </c>
      <c r="AA2" s="2" t="s">
        <v>86</v>
      </c>
      <c r="AB2" s="2" t="s">
        <v>87</v>
      </c>
      <c r="AC2" s="2" t="s">
        <v>88</v>
      </c>
      <c r="AD2" s="2" t="s">
        <v>89</v>
      </c>
      <c r="AE2" s="2" t="s">
        <v>90</v>
      </c>
      <c r="AF2" s="2" t="s">
        <v>91</v>
      </c>
      <c r="AG2" s="2" t="s">
        <v>92</v>
      </c>
      <c r="AH2" s="2" t="s">
        <v>93</v>
      </c>
      <c r="AI2" s="2" t="s">
        <v>115</v>
      </c>
      <c r="AJ2" s="2" t="s">
        <v>116</v>
      </c>
      <c r="AK2" s="2" t="s">
        <v>117</v>
      </c>
      <c r="AL2" s="2" t="s">
        <v>118</v>
      </c>
      <c r="AM2" s="2"/>
      <c r="AP2">
        <v>2018</v>
      </c>
      <c r="AQ2">
        <v>2019</v>
      </c>
      <c r="AR2">
        <v>2020</v>
      </c>
      <c r="AS2">
        <f t="shared" ref="AS2:BC2" si="0">+AR2+1</f>
        <v>2021</v>
      </c>
      <c r="AT2">
        <f t="shared" si="0"/>
        <v>2022</v>
      </c>
      <c r="AU2">
        <f t="shared" si="0"/>
        <v>2023</v>
      </c>
      <c r="AV2">
        <f t="shared" si="0"/>
        <v>2024</v>
      </c>
      <c r="AW2">
        <f t="shared" si="0"/>
        <v>2025</v>
      </c>
      <c r="AX2">
        <f t="shared" si="0"/>
        <v>2026</v>
      </c>
      <c r="AY2">
        <f t="shared" si="0"/>
        <v>2027</v>
      </c>
      <c r="AZ2">
        <f t="shared" si="0"/>
        <v>2028</v>
      </c>
      <c r="BA2">
        <f t="shared" si="0"/>
        <v>2029</v>
      </c>
      <c r="BB2">
        <f t="shared" si="0"/>
        <v>2030</v>
      </c>
      <c r="BC2">
        <f t="shared" si="0"/>
        <v>2031</v>
      </c>
    </row>
    <row r="3" spans="1:55" s="3" customFormat="1" x14ac:dyDescent="0.2">
      <c r="B3" s="3" t="s">
        <v>46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>
        <v>7840</v>
      </c>
      <c r="U3" s="4"/>
      <c r="V3" s="4">
        <v>7985</v>
      </c>
      <c r="W3" s="4">
        <v>7950</v>
      </c>
      <c r="X3" s="4">
        <v>8010</v>
      </c>
      <c r="Y3" s="4"/>
      <c r="Z3" s="4"/>
      <c r="AA3" s="3">
        <v>8035</v>
      </c>
      <c r="AC3" s="3">
        <v>8120</v>
      </c>
      <c r="AD3" s="3">
        <v>8115</v>
      </c>
      <c r="AE3" s="3">
        <v>8545</v>
      </c>
      <c r="AF3" s="3">
        <v>8735</v>
      </c>
      <c r="AG3" s="3">
        <v>8900</v>
      </c>
      <c r="AH3" s="3">
        <v>8845</v>
      </c>
      <c r="AI3" s="3">
        <v>8410</v>
      </c>
      <c r="AJ3" s="3">
        <v>8440</v>
      </c>
      <c r="AT3" s="3">
        <v>8045</v>
      </c>
      <c r="AU3" s="3">
        <v>8115</v>
      </c>
      <c r="AV3" s="3">
        <v>8845</v>
      </c>
    </row>
    <row r="4" spans="1:55" s="3" customFormat="1" x14ac:dyDescent="0.2">
      <c r="B4" s="3" t="s">
        <v>47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>
        <v>18395</v>
      </c>
      <c r="U4" s="4"/>
      <c r="V4" s="4">
        <v>18595</v>
      </c>
      <c r="W4" s="4">
        <v>18460</v>
      </c>
      <c r="X4" s="4">
        <v>18480</v>
      </c>
      <c r="Y4" s="4"/>
      <c r="Z4" s="4"/>
      <c r="AA4" s="3">
        <v>19140</v>
      </c>
      <c r="AC4" s="3">
        <v>19130</v>
      </c>
      <c r="AD4" s="3">
        <v>19200</v>
      </c>
      <c r="AE4" s="3">
        <v>20870</v>
      </c>
      <c r="AF4" s="3">
        <v>20835</v>
      </c>
      <c r="AG4" s="3">
        <v>20830</v>
      </c>
      <c r="AH4" s="3">
        <v>20885</v>
      </c>
      <c r="AI4" s="3">
        <v>21590</v>
      </c>
      <c r="AJ4" s="3">
        <v>21530</v>
      </c>
      <c r="AT4" s="3">
        <v>18640</v>
      </c>
      <c r="AU4" s="3">
        <v>19200</v>
      </c>
      <c r="AV4" s="3">
        <v>20885</v>
      </c>
    </row>
    <row r="5" spans="1:55" s="5" customFormat="1" x14ac:dyDescent="0.2">
      <c r="B5" s="5" t="s">
        <v>48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>
        <f>+T4+T3</f>
        <v>26235</v>
      </c>
      <c r="U5" s="6"/>
      <c r="V5" s="6">
        <f t="shared" ref="V5:X5" si="1">+V4+V3</f>
        <v>26580</v>
      </c>
      <c r="W5" s="6">
        <f t="shared" si="1"/>
        <v>26410</v>
      </c>
      <c r="X5" s="6">
        <f t="shared" si="1"/>
        <v>26490</v>
      </c>
      <c r="Y5" s="6"/>
      <c r="Z5" s="6"/>
      <c r="AA5" s="6">
        <f t="shared" ref="AA5:AC5" si="2">+AA4+AA3</f>
        <v>27175</v>
      </c>
      <c r="AB5" s="6">
        <f t="shared" si="2"/>
        <v>0</v>
      </c>
      <c r="AC5" s="6">
        <f t="shared" si="2"/>
        <v>27250</v>
      </c>
      <c r="AD5" s="6">
        <f t="shared" ref="AD5:AJ5" si="3">+AD4+AD3</f>
        <v>27315</v>
      </c>
      <c r="AE5" s="6">
        <f t="shared" si="3"/>
        <v>29415</v>
      </c>
      <c r="AF5" s="6">
        <f t="shared" si="3"/>
        <v>29570</v>
      </c>
      <c r="AG5" s="6">
        <f t="shared" si="3"/>
        <v>29730</v>
      </c>
      <c r="AH5" s="6">
        <f t="shared" si="3"/>
        <v>29730</v>
      </c>
      <c r="AI5" s="6">
        <f t="shared" si="3"/>
        <v>30000</v>
      </c>
      <c r="AJ5" s="6">
        <f t="shared" si="3"/>
        <v>29970</v>
      </c>
      <c r="AT5" s="5">
        <f>+AT3+AT4</f>
        <v>26685</v>
      </c>
      <c r="AU5" s="5">
        <f>+AU3+AU4</f>
        <v>27315</v>
      </c>
      <c r="AV5" s="5">
        <f>+AV3+AV4</f>
        <v>29730</v>
      </c>
    </row>
    <row r="6" spans="1:55" s="3" customFormat="1" x14ac:dyDescent="0.2">
      <c r="B6" s="3" t="s">
        <v>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6385</v>
      </c>
      <c r="U6" s="4"/>
      <c r="V6" s="4">
        <v>6490</v>
      </c>
      <c r="W6" s="4">
        <v>6890</v>
      </c>
      <c r="X6" s="4">
        <v>6945</v>
      </c>
      <c r="Y6" s="4"/>
      <c r="Z6" s="4"/>
      <c r="AA6" s="3">
        <v>7590</v>
      </c>
      <c r="AC6" s="3">
        <v>7645</v>
      </c>
      <c r="AD6" s="3">
        <v>7695</v>
      </c>
      <c r="AE6" s="3">
        <v>7760</v>
      </c>
      <c r="AF6" s="3">
        <v>7770</v>
      </c>
      <c r="AG6" s="3">
        <v>7810</v>
      </c>
      <c r="AH6" s="3">
        <v>7845</v>
      </c>
      <c r="AI6" s="3">
        <v>8245</v>
      </c>
      <c r="AJ6" s="3">
        <v>8350</v>
      </c>
      <c r="AT6" s="3">
        <v>7105</v>
      </c>
      <c r="AU6" s="3">
        <v>7695</v>
      </c>
      <c r="AV6" s="3">
        <v>7845</v>
      </c>
    </row>
    <row r="7" spans="1:55" s="3" customFormat="1" x14ac:dyDescent="0.2">
      <c r="B7" s="3" t="s">
        <v>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7130</v>
      </c>
      <c r="U7" s="4"/>
      <c r="V7" s="4">
        <v>7655</v>
      </c>
      <c r="W7" s="4">
        <v>7810</v>
      </c>
      <c r="X7" s="4">
        <v>7990</v>
      </c>
      <c r="Y7" s="4"/>
      <c r="Z7" s="4"/>
      <c r="AA7" s="3">
        <v>8355</v>
      </c>
      <c r="AC7" s="3">
        <v>8065</v>
      </c>
      <c r="AD7" s="3">
        <v>7845</v>
      </c>
      <c r="AE7" s="3">
        <v>7680</v>
      </c>
      <c r="AF7" s="3">
        <v>7410</v>
      </c>
      <c r="AG7" s="3">
        <v>7450</v>
      </c>
      <c r="AH7" s="3">
        <v>7435</v>
      </c>
      <c r="AI7" s="3">
        <v>7570</v>
      </c>
      <c r="AJ7" s="3">
        <v>7490</v>
      </c>
      <c r="AT7" s="3">
        <v>8170</v>
      </c>
      <c r="AU7" s="3">
        <v>7845</v>
      </c>
      <c r="AV7" s="3">
        <v>7435</v>
      </c>
    </row>
    <row r="8" spans="1:55" s="3" customFormat="1" x14ac:dyDescent="0.2">
      <c r="B8" s="3" t="s">
        <v>51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4390</v>
      </c>
      <c r="U8" s="4"/>
      <c r="V8" s="4">
        <v>4395</v>
      </c>
      <c r="W8" s="4">
        <v>4355</v>
      </c>
      <c r="X8" s="4">
        <v>4355</v>
      </c>
      <c r="Y8" s="4"/>
      <c r="Z8" s="4"/>
      <c r="AA8" s="3">
        <v>4330</v>
      </c>
      <c r="AC8" s="3">
        <v>4345</v>
      </c>
      <c r="AD8" s="3">
        <v>4355</v>
      </c>
      <c r="AE8" s="3">
        <v>4325</v>
      </c>
      <c r="AF8" s="3">
        <v>4335</v>
      </c>
      <c r="AG8" s="3">
        <v>4340</v>
      </c>
      <c r="AH8" s="3">
        <v>4335</v>
      </c>
      <c r="AI8" s="3">
        <v>4310</v>
      </c>
      <c r="AJ8" s="3">
        <v>4305</v>
      </c>
      <c r="AT8" s="3">
        <v>4375</v>
      </c>
      <c r="AU8" s="3">
        <v>4355</v>
      </c>
      <c r="AV8" s="3">
        <v>4335</v>
      </c>
    </row>
    <row r="9" spans="1:55" s="5" customFormat="1" x14ac:dyDescent="0.2">
      <c r="B9" s="5" t="s">
        <v>52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>
        <f>SUM(T6:T8)</f>
        <v>17905</v>
      </c>
      <c r="U9" s="6"/>
      <c r="V9" s="6">
        <f t="shared" ref="V9:X9" si="4">SUM(V6:V8)</f>
        <v>18540</v>
      </c>
      <c r="W9" s="6">
        <f t="shared" si="4"/>
        <v>19055</v>
      </c>
      <c r="X9" s="6">
        <f t="shared" si="4"/>
        <v>19290</v>
      </c>
      <c r="Y9" s="6"/>
      <c r="Z9" s="6"/>
      <c r="AA9" s="6">
        <f t="shared" ref="AA9:AC9" si="5">SUM(AA6:AA8)</f>
        <v>20275</v>
      </c>
      <c r="AB9" s="6">
        <f t="shared" si="5"/>
        <v>0</v>
      </c>
      <c r="AC9" s="6">
        <f t="shared" si="5"/>
        <v>20055</v>
      </c>
      <c r="AD9" s="6">
        <f t="shared" ref="AD9:AJ9" si="6">SUM(AD6:AD8)</f>
        <v>19895</v>
      </c>
      <c r="AE9" s="6">
        <f t="shared" si="6"/>
        <v>19765</v>
      </c>
      <c r="AF9" s="6">
        <f t="shared" si="6"/>
        <v>19515</v>
      </c>
      <c r="AG9" s="6">
        <f t="shared" si="6"/>
        <v>19600</v>
      </c>
      <c r="AH9" s="6">
        <f t="shared" si="6"/>
        <v>19615</v>
      </c>
      <c r="AI9" s="6">
        <f t="shared" si="6"/>
        <v>20125</v>
      </c>
      <c r="AJ9" s="6">
        <f t="shared" si="6"/>
        <v>20145</v>
      </c>
      <c r="AT9" s="5">
        <f>+AT8+AT7+AT6</f>
        <v>19650</v>
      </c>
      <c r="AU9" s="5">
        <f>+AU8+AU7+AU6</f>
        <v>19895</v>
      </c>
      <c r="AV9" s="5">
        <f>+AV8+AV7+AV6</f>
        <v>19615</v>
      </c>
    </row>
    <row r="10" spans="1:55" s="3" customFormat="1" x14ac:dyDescent="0.2">
      <c r="B10" s="3" t="s">
        <v>53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5485</v>
      </c>
      <c r="U10" s="4"/>
      <c r="V10" s="4">
        <v>5510</v>
      </c>
      <c r="W10" s="4">
        <v>5500</v>
      </c>
      <c r="X10" s="4">
        <v>5465</v>
      </c>
      <c r="Y10" s="4"/>
      <c r="Z10" s="4"/>
      <c r="AA10" s="3">
        <v>5385</v>
      </c>
      <c r="AC10" s="3">
        <v>5475</v>
      </c>
      <c r="AD10" s="3">
        <v>5540</v>
      </c>
      <c r="AE10" s="3">
        <v>2295</v>
      </c>
      <c r="AF10" s="3">
        <v>1330</v>
      </c>
      <c r="AG10" s="3">
        <v>1335</v>
      </c>
      <c r="AH10" s="3">
        <v>1330</v>
      </c>
      <c r="AI10" s="3">
        <v>1160</v>
      </c>
      <c r="AJ10" s="3">
        <v>1165</v>
      </c>
      <c r="AT10" s="3">
        <v>5360</v>
      </c>
      <c r="AU10" s="3">
        <v>5540</v>
      </c>
      <c r="AV10" s="3">
        <v>1330</v>
      </c>
    </row>
    <row r="11" spans="1:55" s="3" customFormat="1" x14ac:dyDescent="0.2">
      <c r="B11" s="3" t="s">
        <v>54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3750</v>
      </c>
      <c r="U11" s="4"/>
      <c r="V11" s="4">
        <v>3700</v>
      </c>
      <c r="W11" s="4">
        <v>3360</v>
      </c>
      <c r="X11" s="4">
        <v>3330</v>
      </c>
      <c r="Y11" s="4"/>
      <c r="Z11" s="4"/>
      <c r="AA11" s="3">
        <v>3355</v>
      </c>
      <c r="AC11" s="3">
        <v>3355</v>
      </c>
      <c r="AD11" s="3">
        <v>3315</v>
      </c>
      <c r="AE11" s="3">
        <v>3085</v>
      </c>
      <c r="AF11" s="3">
        <v>3065</v>
      </c>
      <c r="AG11" s="3">
        <v>3055</v>
      </c>
      <c r="AH11" s="3">
        <v>3050</v>
      </c>
      <c r="AI11" s="3">
        <v>2835</v>
      </c>
      <c r="AJ11" s="3">
        <v>2800</v>
      </c>
      <c r="AT11" s="3">
        <v>3295</v>
      </c>
      <c r="AU11" s="3">
        <v>3315</v>
      </c>
      <c r="AV11" s="3">
        <v>3050</v>
      </c>
    </row>
    <row r="12" spans="1:55" s="3" customFormat="1" x14ac:dyDescent="0.2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55" s="3" customFormat="1" x14ac:dyDescent="0.2">
      <c r="B13" s="3" t="s">
        <v>55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99</v>
      </c>
      <c r="U13" s="4"/>
      <c r="V13" s="4">
        <v>100</v>
      </c>
      <c r="W13" s="4">
        <v>100</v>
      </c>
      <c r="X13" s="4">
        <v>101</v>
      </c>
      <c r="Y13" s="4"/>
      <c r="Z13" s="4"/>
    </row>
    <row r="14" spans="1:55" s="3" customFormat="1" x14ac:dyDescent="0.2">
      <c r="B14" s="3" t="s">
        <v>56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21.3</v>
      </c>
      <c r="U14" s="4"/>
      <c r="V14" s="4">
        <v>22.4</v>
      </c>
      <c r="W14" s="4">
        <v>22.8</v>
      </c>
      <c r="X14" s="4">
        <v>23.6</v>
      </c>
      <c r="Y14" s="4"/>
      <c r="Z14" s="4"/>
    </row>
    <row r="15" spans="1:55" s="3" customFormat="1" x14ac:dyDescent="0.2">
      <c r="B15" s="3" t="s">
        <v>57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342</v>
      </c>
      <c r="U15" s="4"/>
      <c r="V15" s="4">
        <v>353</v>
      </c>
      <c r="W15" s="4">
        <v>352</v>
      </c>
      <c r="X15" s="4">
        <v>357</v>
      </c>
      <c r="Y15" s="4"/>
      <c r="Z15" s="4"/>
    </row>
    <row r="17" spans="2:48" s="3" customFormat="1" x14ac:dyDescent="0.2">
      <c r="B17" s="3" t="s">
        <v>38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14942</v>
      </c>
      <c r="U17" s="4"/>
      <c r="V17" s="4"/>
      <c r="W17" s="4"/>
      <c r="X17" s="4">
        <v>15567</v>
      </c>
      <c r="Y17" s="4"/>
      <c r="Z17" s="4"/>
      <c r="AA17" s="3">
        <v>16759</v>
      </c>
      <c r="AF17" s="3">
        <v>18646</v>
      </c>
    </row>
    <row r="18" spans="2:48" s="3" customFormat="1" x14ac:dyDescent="0.2">
      <c r="B18" s="3" t="s">
        <v>39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2118</v>
      </c>
      <c r="U18" s="4"/>
      <c r="V18" s="4"/>
      <c r="W18" s="4"/>
      <c r="X18" s="4">
        <v>2247</v>
      </c>
      <c r="Y18" s="4"/>
      <c r="Z18" s="4"/>
      <c r="AA18" s="3">
        <v>2325</v>
      </c>
      <c r="AF18" s="3">
        <v>591</v>
      </c>
    </row>
    <row r="19" spans="2:48" s="3" customFormat="1" x14ac:dyDescent="0.2">
      <c r="B19" s="3" t="s">
        <v>40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25304</v>
      </c>
      <c r="U19" s="4"/>
      <c r="V19" s="4"/>
      <c r="W19" s="4"/>
      <c r="X19" s="4">
        <v>28625</v>
      </c>
      <c r="Y19" s="4"/>
      <c r="Z19" s="4"/>
      <c r="AA19" s="3">
        <v>32440</v>
      </c>
      <c r="AF19" s="3">
        <v>34904</v>
      </c>
    </row>
    <row r="20" spans="2:48" s="3" customFormat="1" x14ac:dyDescent="0.2">
      <c r="B20" s="3" t="s">
        <v>41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13110</v>
      </c>
      <c r="U20" s="4"/>
      <c r="V20" s="4"/>
      <c r="W20" s="4"/>
      <c r="X20" s="4">
        <v>15666</v>
      </c>
      <c r="Y20" s="4"/>
      <c r="Z20" s="4"/>
      <c r="AA20" s="3">
        <v>18707</v>
      </c>
      <c r="AF20" s="3">
        <v>19725</v>
      </c>
    </row>
    <row r="21" spans="2:48" s="3" customFormat="1" x14ac:dyDescent="0.2">
      <c r="B21" s="3" t="s">
        <v>42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38303</v>
      </c>
      <c r="U21" s="4"/>
      <c r="V21" s="4"/>
      <c r="W21" s="4"/>
      <c r="X21" s="4">
        <v>45082</v>
      </c>
      <c r="Y21" s="4"/>
      <c r="Z21" s="4"/>
      <c r="AA21" s="3">
        <v>56344</v>
      </c>
      <c r="AE21" s="3">
        <v>61052</v>
      </c>
      <c r="AF21" s="3">
        <v>62879</v>
      </c>
      <c r="AI21" s="3">
        <v>63885</v>
      </c>
      <c r="AJ21" s="3">
        <v>67225</v>
      </c>
    </row>
    <row r="22" spans="2:48" s="3" customFormat="1" x14ac:dyDescent="0.2">
      <c r="B22" s="3" t="s">
        <v>43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13300</v>
      </c>
      <c r="U22" s="4"/>
      <c r="V22" s="4"/>
      <c r="W22" s="4"/>
      <c r="X22" s="4">
        <v>17583</v>
      </c>
      <c r="Y22" s="4"/>
      <c r="Z22" s="4"/>
      <c r="AB22" s="3">
        <v>103</v>
      </c>
      <c r="AC22" s="3">
        <v>103</v>
      </c>
      <c r="AD22" s="3">
        <v>103</v>
      </c>
      <c r="AE22" s="3">
        <v>104</v>
      </c>
      <c r="AF22" s="3">
        <v>104</v>
      </c>
      <c r="AH22" s="3">
        <v>100</v>
      </c>
      <c r="AI22" s="3">
        <v>99</v>
      </c>
    </row>
    <row r="23" spans="2:48" s="3" customFormat="1" x14ac:dyDescent="0.2">
      <c r="B23" s="3" t="s">
        <v>44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2957</v>
      </c>
      <c r="U23" s="4"/>
      <c r="V23" s="4"/>
      <c r="W23" s="4"/>
      <c r="X23" s="4">
        <v>3282</v>
      </c>
      <c r="Y23" s="4"/>
      <c r="Z23" s="4"/>
      <c r="AB23" s="3">
        <v>31.4</v>
      </c>
      <c r="AC23" s="3">
        <v>31.6</v>
      </c>
      <c r="AD23" s="3">
        <v>32.1</v>
      </c>
      <c r="AE23" s="3">
        <v>32.799999999999997</v>
      </c>
      <c r="AF23" s="3">
        <v>32.6</v>
      </c>
      <c r="AH23" s="3">
        <v>32.799999999999997</v>
      </c>
      <c r="AI23" s="3">
        <v>32.9</v>
      </c>
    </row>
    <row r="24" spans="2:48" s="3" customFormat="1" x14ac:dyDescent="0.2">
      <c r="B24" s="3" t="s">
        <v>45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v>22524</v>
      </c>
      <c r="U24" s="4"/>
      <c r="V24" s="4"/>
      <c r="W24" s="4"/>
      <c r="X24" s="4">
        <v>24805</v>
      </c>
      <c r="Y24" s="4"/>
      <c r="Z24" s="4"/>
      <c r="AB24" s="3">
        <v>381</v>
      </c>
      <c r="AC24" s="3">
        <v>383</v>
      </c>
      <c r="AD24" s="3">
        <v>400</v>
      </c>
      <c r="AE24" s="3">
        <v>395</v>
      </c>
      <c r="AF24" s="3">
        <v>399</v>
      </c>
      <c r="AH24" s="3">
        <v>422</v>
      </c>
      <c r="AI24" s="3">
        <v>408</v>
      </c>
    </row>
    <row r="26" spans="2:48" x14ac:dyDescent="0.2">
      <c r="B26" t="s">
        <v>34</v>
      </c>
      <c r="T26" s="4">
        <f>T28-T33</f>
        <v>9687</v>
      </c>
      <c r="X26" s="4">
        <f>X28-X33</f>
        <v>11803</v>
      </c>
      <c r="AF26" s="3"/>
    </row>
    <row r="27" spans="2:48" x14ac:dyDescent="0.2">
      <c r="AF27" s="5"/>
    </row>
    <row r="28" spans="2:48" s="3" customFormat="1" x14ac:dyDescent="0.2">
      <c r="B28" s="3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>
        <v>55486</v>
      </c>
      <c r="T28" s="4">
        <v>56233</v>
      </c>
      <c r="U28" s="4"/>
      <c r="V28" s="4"/>
      <c r="W28" s="4">
        <v>64070</v>
      </c>
      <c r="X28" s="4">
        <v>63896</v>
      </c>
      <c r="Y28" s="4"/>
      <c r="Z28" s="4"/>
      <c r="AA28" s="3">
        <v>72786</v>
      </c>
      <c r="AB28" s="3">
        <v>72474</v>
      </c>
      <c r="AC28" s="3">
        <v>72339</v>
      </c>
      <c r="AD28" s="3">
        <v>73228</v>
      </c>
      <c r="AE28" s="3">
        <v>77988</v>
      </c>
      <c r="AF28" s="3">
        <v>76897</v>
      </c>
      <c r="AG28" s="3">
        <v>77442</v>
      </c>
      <c r="AH28" s="3">
        <v>76483</v>
      </c>
      <c r="AI28" s="3">
        <v>86534</v>
      </c>
      <c r="AJ28" s="3">
        <v>87905</v>
      </c>
      <c r="AQ28" s="3">
        <v>189699</v>
      </c>
      <c r="AR28" s="3">
        <v>201478</v>
      </c>
      <c r="AS28" s="3">
        <v>226233</v>
      </c>
      <c r="AT28" s="3">
        <v>257157</v>
      </c>
      <c r="AU28" s="3">
        <v>290827</v>
      </c>
      <c r="AV28" s="3">
        <v>308810</v>
      </c>
    </row>
    <row r="29" spans="2:48" s="3" customFormat="1" x14ac:dyDescent="0.2">
      <c r="B29" s="3" t="s">
        <v>20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v>8340</v>
      </c>
      <c r="T29" s="4">
        <v>8433</v>
      </c>
      <c r="U29" s="4"/>
      <c r="V29" s="4"/>
      <c r="W29" s="4">
        <v>9340</v>
      </c>
      <c r="X29" s="4">
        <v>9496</v>
      </c>
      <c r="Y29" s="4"/>
      <c r="Z29" s="4"/>
      <c r="AA29" s="3">
        <v>10267</v>
      </c>
      <c r="AB29" s="3">
        <v>10651</v>
      </c>
      <c r="AC29" s="3">
        <v>10354</v>
      </c>
      <c r="AD29" s="3">
        <v>11311</v>
      </c>
      <c r="AE29" s="3">
        <v>11909</v>
      </c>
      <c r="AF29" s="3">
        <v>12211</v>
      </c>
      <c r="AG29" s="3">
        <v>12631</v>
      </c>
      <c r="AH29" s="3">
        <v>13475</v>
      </c>
      <c r="AI29" s="3">
        <v>13036</v>
      </c>
      <c r="AJ29" s="3">
        <v>13564</v>
      </c>
      <c r="AQ29" s="3">
        <v>31597</v>
      </c>
      <c r="AR29" s="3">
        <v>34145</v>
      </c>
      <c r="AS29" s="3">
        <v>34437</v>
      </c>
      <c r="AT29" s="3">
        <v>37424</v>
      </c>
      <c r="AU29" s="3">
        <v>42583</v>
      </c>
      <c r="AV29" s="3">
        <v>50226</v>
      </c>
    </row>
    <row r="30" spans="2:48" s="3" customFormat="1" x14ac:dyDescent="0.2">
      <c r="B30" s="3" t="s">
        <v>22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>
        <v>5918</v>
      </c>
      <c r="T30" s="4">
        <v>6099</v>
      </c>
      <c r="U30" s="4"/>
      <c r="V30" s="4"/>
      <c r="W30" s="4">
        <v>6372</v>
      </c>
      <c r="X30" s="4">
        <v>6645</v>
      </c>
      <c r="Y30" s="4"/>
      <c r="Z30" s="4"/>
      <c r="AA30" s="3">
        <v>8080</v>
      </c>
      <c r="AB30" s="3">
        <v>8663</v>
      </c>
      <c r="AC30" s="3">
        <v>8671</v>
      </c>
      <c r="AD30" s="3">
        <v>8709</v>
      </c>
      <c r="AE30" s="3">
        <v>8888</v>
      </c>
      <c r="AF30" s="3">
        <v>8750</v>
      </c>
      <c r="AG30" s="3">
        <v>9104</v>
      </c>
      <c r="AH30" s="3">
        <v>9298</v>
      </c>
      <c r="AI30" s="3">
        <v>8972</v>
      </c>
      <c r="AJ30" s="3">
        <v>9039</v>
      </c>
      <c r="AQ30" s="3">
        <v>18973</v>
      </c>
      <c r="AR30" s="3">
        <v>20016</v>
      </c>
      <c r="AS30" s="3">
        <v>24603</v>
      </c>
      <c r="AT30" s="3">
        <v>27551</v>
      </c>
      <c r="AU30" s="3">
        <v>34123</v>
      </c>
      <c r="AV30" s="3">
        <v>36040</v>
      </c>
    </row>
    <row r="31" spans="2:48" s="3" customFormat="1" x14ac:dyDescent="0.2">
      <c r="B31" s="3" t="s">
        <v>21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>
        <v>452</v>
      </c>
      <c r="T31" s="4">
        <v>556</v>
      </c>
      <c r="U31" s="4"/>
      <c r="V31" s="4"/>
      <c r="W31" s="4">
        <v>367</v>
      </c>
      <c r="X31" s="4">
        <v>295</v>
      </c>
      <c r="Y31" s="4"/>
      <c r="Z31" s="4"/>
      <c r="AA31" s="3">
        <v>798</v>
      </c>
      <c r="AB31" s="3">
        <v>1115</v>
      </c>
      <c r="AC31" s="3">
        <v>997</v>
      </c>
      <c r="AD31" s="3">
        <v>1179</v>
      </c>
      <c r="AE31" s="3">
        <v>1011</v>
      </c>
      <c r="AF31" s="3">
        <v>997</v>
      </c>
      <c r="AG31" s="3">
        <v>1643</v>
      </c>
      <c r="AH31" s="3">
        <v>1551</v>
      </c>
      <c r="AI31" s="3">
        <v>1033</v>
      </c>
      <c r="AJ31" s="3">
        <v>1108</v>
      </c>
      <c r="AQ31" s="3">
        <v>1886</v>
      </c>
      <c r="AR31" s="3">
        <v>1502</v>
      </c>
      <c r="AS31" s="3">
        <v>2324</v>
      </c>
      <c r="AT31" s="3">
        <v>2030</v>
      </c>
      <c r="AU31" s="3">
        <v>4089</v>
      </c>
      <c r="AV31" s="3">
        <v>5202</v>
      </c>
    </row>
    <row r="32" spans="2:48" s="5" customFormat="1" x14ac:dyDescent="0.2">
      <c r="B32" s="5" t="s">
        <v>23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f t="shared" ref="S32" si="7">SUM(S28:S31)</f>
        <v>70196</v>
      </c>
      <c r="T32" s="6">
        <f>SUM(T28:T31)</f>
        <v>71321</v>
      </c>
      <c r="U32" s="6"/>
      <c r="V32" s="6"/>
      <c r="W32" s="6">
        <f t="shared" ref="W32" si="8">SUM(W28:W31)</f>
        <v>80149</v>
      </c>
      <c r="X32" s="6">
        <f t="shared" ref="X32:AJ32" si="9">SUM(X28:X31)</f>
        <v>80332</v>
      </c>
      <c r="Y32" s="6">
        <f t="shared" si="9"/>
        <v>0</v>
      </c>
      <c r="Z32" s="6">
        <f t="shared" si="9"/>
        <v>0</v>
      </c>
      <c r="AA32" s="6">
        <f t="shared" si="9"/>
        <v>91931</v>
      </c>
      <c r="AB32" s="6">
        <f t="shared" si="9"/>
        <v>92903</v>
      </c>
      <c r="AC32" s="6">
        <f t="shared" si="9"/>
        <v>92361</v>
      </c>
      <c r="AD32" s="6">
        <f t="shared" si="9"/>
        <v>94427</v>
      </c>
      <c r="AE32" s="6">
        <f t="shared" si="9"/>
        <v>99796</v>
      </c>
      <c r="AF32" s="6">
        <f t="shared" si="9"/>
        <v>98855</v>
      </c>
      <c r="AG32" s="6">
        <f t="shared" si="9"/>
        <v>100820</v>
      </c>
      <c r="AH32" s="6">
        <f t="shared" si="9"/>
        <v>100807</v>
      </c>
      <c r="AI32" s="6">
        <f t="shared" si="9"/>
        <v>109575</v>
      </c>
      <c r="AJ32" s="6">
        <f t="shared" si="9"/>
        <v>111616</v>
      </c>
      <c r="AK32" s="6"/>
      <c r="AL32" s="6"/>
      <c r="AM32" s="6"/>
      <c r="AQ32" s="5">
        <f t="shared" ref="AQ32:AV32" si="10">SUM(AQ28:AQ31)</f>
        <v>242155</v>
      </c>
      <c r="AR32" s="5">
        <f t="shared" si="10"/>
        <v>257141</v>
      </c>
      <c r="AS32" s="5">
        <f t="shared" si="10"/>
        <v>287597</v>
      </c>
      <c r="AT32" s="5">
        <f t="shared" si="10"/>
        <v>324162</v>
      </c>
      <c r="AU32" s="5">
        <f t="shared" si="10"/>
        <v>371622</v>
      </c>
      <c r="AV32" s="5">
        <f t="shared" si="10"/>
        <v>400278</v>
      </c>
    </row>
    <row r="33" spans="2:48" s="3" customFormat="1" x14ac:dyDescent="0.2">
      <c r="B33" s="3" t="s">
        <v>24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>
        <v>44904</v>
      </c>
      <c r="T33" s="4">
        <v>46546</v>
      </c>
      <c r="U33" s="4"/>
      <c r="V33" s="4"/>
      <c r="W33" s="4">
        <v>52523</v>
      </c>
      <c r="X33" s="4">
        <v>52093</v>
      </c>
      <c r="Y33" s="4"/>
      <c r="Z33" s="4"/>
      <c r="AA33" s="3">
        <v>59845</v>
      </c>
      <c r="AB33" s="3">
        <v>60268</v>
      </c>
      <c r="AC33" s="3">
        <v>59550</v>
      </c>
      <c r="AD33" s="3">
        <v>62231</v>
      </c>
      <c r="AE33" s="3">
        <v>65735</v>
      </c>
      <c r="AF33" s="3">
        <v>65458</v>
      </c>
      <c r="AG33" s="3">
        <v>65957</v>
      </c>
      <c r="AH33" s="3">
        <v>67035</v>
      </c>
      <c r="AI33" s="3">
        <v>73411</v>
      </c>
      <c r="AJ33" s="3">
        <v>78585</v>
      </c>
      <c r="AQ33" s="3">
        <v>156440</v>
      </c>
      <c r="AR33" s="3">
        <v>159396</v>
      </c>
      <c r="AS33" s="3">
        <v>186911</v>
      </c>
      <c r="AT33" s="3">
        <v>210842</v>
      </c>
      <c r="AU33" s="3">
        <v>241894</v>
      </c>
      <c r="AV33" s="3">
        <v>264185</v>
      </c>
    </row>
    <row r="34" spans="2:48" s="3" customFormat="1" x14ac:dyDescent="0.2">
      <c r="B34" s="3" t="s">
        <v>25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>
        <v>10223</v>
      </c>
      <c r="T34" s="4">
        <v>10359</v>
      </c>
      <c r="U34" s="4"/>
      <c r="V34" s="4"/>
      <c r="W34" s="4">
        <v>11401</v>
      </c>
      <c r="X34" s="4">
        <v>11709</v>
      </c>
      <c r="Y34" s="4"/>
      <c r="Z34" s="4"/>
      <c r="AA34" s="3">
        <v>13625</v>
      </c>
      <c r="AB34" s="3">
        <v>13809</v>
      </c>
      <c r="AC34" s="3">
        <v>13855</v>
      </c>
      <c r="AD34" s="3">
        <v>13339</v>
      </c>
      <c r="AE34" s="3">
        <v>14077</v>
      </c>
      <c r="AF34" s="3">
        <v>13162</v>
      </c>
      <c r="AG34" s="3">
        <v>13280</v>
      </c>
      <c r="AH34" s="3">
        <v>12494</v>
      </c>
      <c r="AI34" s="3">
        <v>13594</v>
      </c>
      <c r="AJ34" s="3">
        <v>13778</v>
      </c>
      <c r="AQ34" s="3">
        <v>35193</v>
      </c>
      <c r="AR34" s="3">
        <v>41704</v>
      </c>
      <c r="AS34" s="3">
        <v>42579</v>
      </c>
      <c r="AT34" s="3">
        <v>47782</v>
      </c>
      <c r="AU34" s="3">
        <v>54628</v>
      </c>
      <c r="AV34" s="3">
        <v>53013</v>
      </c>
    </row>
    <row r="35" spans="2:48" s="3" customFormat="1" x14ac:dyDescent="0.2">
      <c r="B35" s="3" t="s">
        <v>26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>
        <v>7572</v>
      </c>
      <c r="T35" s="4">
        <v>7660</v>
      </c>
      <c r="U35" s="4"/>
      <c r="V35" s="4"/>
      <c r="W35" s="4">
        <v>8487</v>
      </c>
      <c r="X35" s="4">
        <v>8596</v>
      </c>
      <c r="Y35" s="4"/>
      <c r="Z35" s="4"/>
      <c r="AA35" s="3">
        <v>9405</v>
      </c>
      <c r="AB35" s="3">
        <v>9748</v>
      </c>
      <c r="AC35" s="3">
        <v>9423</v>
      </c>
      <c r="AD35" s="3">
        <v>10194</v>
      </c>
      <c r="AE35" s="3">
        <v>11056</v>
      </c>
      <c r="AF35" s="3">
        <v>11340</v>
      </c>
      <c r="AG35" s="3">
        <v>11834</v>
      </c>
      <c r="AH35" s="3">
        <v>12464</v>
      </c>
      <c r="AI35" s="3">
        <v>12390</v>
      </c>
      <c r="AJ35" s="3">
        <v>13019</v>
      </c>
      <c r="AQ35" s="3">
        <v>28117</v>
      </c>
      <c r="AR35" s="3">
        <v>30745</v>
      </c>
      <c r="AS35" s="3">
        <v>31034</v>
      </c>
      <c r="AT35" s="3">
        <v>33703</v>
      </c>
      <c r="AU35" s="3">
        <v>38770</v>
      </c>
      <c r="AV35" s="3">
        <v>46694</v>
      </c>
    </row>
    <row r="36" spans="2:48" s="3" customFormat="1" x14ac:dyDescent="0.2">
      <c r="B36" s="3" t="s">
        <v>27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>
        <f t="shared" ref="S36" si="11">SUM(S33:S35)</f>
        <v>62699</v>
      </c>
      <c r="T36" s="4">
        <f>SUM(T33:T35)</f>
        <v>64565</v>
      </c>
      <c r="U36" s="4"/>
      <c r="V36" s="4"/>
      <c r="W36" s="4">
        <f t="shared" ref="W36" si="12">SUM(W33:W35)</f>
        <v>72411</v>
      </c>
      <c r="X36" s="4">
        <f>SUM(X33:X35)</f>
        <v>72398</v>
      </c>
      <c r="Y36" s="4">
        <f t="shared" ref="Y36:AH36" si="13">SUM(Y33:Y35)</f>
        <v>0</v>
      </c>
      <c r="Z36" s="4">
        <f t="shared" si="13"/>
        <v>0</v>
      </c>
      <c r="AA36" s="4">
        <f t="shared" si="13"/>
        <v>82875</v>
      </c>
      <c r="AB36" s="4">
        <f t="shared" si="13"/>
        <v>83825</v>
      </c>
      <c r="AC36" s="4">
        <f t="shared" si="13"/>
        <v>82828</v>
      </c>
      <c r="AD36" s="4">
        <f t="shared" si="13"/>
        <v>85764</v>
      </c>
      <c r="AE36" s="4">
        <f t="shared" si="13"/>
        <v>90868</v>
      </c>
      <c r="AF36" s="4">
        <f t="shared" si="13"/>
        <v>89960</v>
      </c>
      <c r="AG36" s="4">
        <f t="shared" si="13"/>
        <v>91071</v>
      </c>
      <c r="AH36" s="4">
        <f t="shared" si="13"/>
        <v>91993</v>
      </c>
      <c r="AI36" s="4">
        <f t="shared" ref="AI36:AJ36" si="14">SUM(AI33:AI35)</f>
        <v>99395</v>
      </c>
      <c r="AJ36" s="4">
        <f t="shared" si="14"/>
        <v>105382</v>
      </c>
      <c r="AK36" s="4"/>
      <c r="AL36" s="4"/>
      <c r="AM36" s="4"/>
      <c r="AP36" s="4"/>
      <c r="AQ36" s="4">
        <f t="shared" ref="AQ36:AR36" si="15">SUM(AQ33:AQ35)</f>
        <v>219750</v>
      </c>
      <c r="AR36" s="4">
        <f t="shared" si="15"/>
        <v>231845</v>
      </c>
      <c r="AS36" s="4">
        <f t="shared" ref="AS36" si="16">SUM(AS33:AS35)</f>
        <v>260524</v>
      </c>
      <c r="AT36" s="4">
        <f t="shared" ref="AT36" si="17">SUM(AT33:AT35)</f>
        <v>292327</v>
      </c>
      <c r="AU36" s="4">
        <f t="shared" ref="AU36" si="18">SUM(AU33:AU35)</f>
        <v>335292</v>
      </c>
      <c r="AV36" s="4">
        <f t="shared" ref="AV36" si="19">SUM(AV33:AV35)</f>
        <v>363892</v>
      </c>
    </row>
    <row r="37" spans="2:48" s="3" customFormat="1" x14ac:dyDescent="0.2">
      <c r="B37" s="3" t="s">
        <v>30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>
        <f t="shared" ref="S37" si="20">S32-S36</f>
        <v>7497</v>
      </c>
      <c r="T37" s="4">
        <f>T32-T36</f>
        <v>6756</v>
      </c>
      <c r="U37" s="4"/>
      <c r="V37" s="4"/>
      <c r="W37" s="4">
        <f t="shared" ref="W37" si="21">W32-W36</f>
        <v>7738</v>
      </c>
      <c r="X37" s="4">
        <f>X32-X36</f>
        <v>7934</v>
      </c>
      <c r="Y37" s="4">
        <f t="shared" ref="Y37:AH37" si="22">Y32-Y36</f>
        <v>0</v>
      </c>
      <c r="Z37" s="4">
        <f t="shared" si="22"/>
        <v>0</v>
      </c>
      <c r="AA37" s="4">
        <f t="shared" si="22"/>
        <v>9056</v>
      </c>
      <c r="AB37" s="4">
        <f t="shared" si="22"/>
        <v>9078</v>
      </c>
      <c r="AC37" s="4">
        <f t="shared" si="22"/>
        <v>9533</v>
      </c>
      <c r="AD37" s="4">
        <f t="shared" si="22"/>
        <v>8663</v>
      </c>
      <c r="AE37" s="4">
        <f t="shared" si="22"/>
        <v>8928</v>
      </c>
      <c r="AF37" s="4">
        <f t="shared" si="22"/>
        <v>8895</v>
      </c>
      <c r="AG37" s="4">
        <f t="shared" si="22"/>
        <v>9749</v>
      </c>
      <c r="AH37" s="4">
        <f t="shared" si="22"/>
        <v>8814</v>
      </c>
      <c r="AI37" s="4">
        <f t="shared" ref="AI37:AJ37" si="23">AI32-AI36</f>
        <v>10180</v>
      </c>
      <c r="AJ37" s="4">
        <f t="shared" si="23"/>
        <v>6234</v>
      </c>
      <c r="AK37" s="4"/>
      <c r="AL37" s="4"/>
      <c r="AM37" s="4"/>
      <c r="AP37" s="4"/>
      <c r="AQ37" s="4">
        <f t="shared" ref="AQ37:AR37" si="24">AQ32-AQ36</f>
        <v>22405</v>
      </c>
      <c r="AR37" s="4">
        <f t="shared" si="24"/>
        <v>25296</v>
      </c>
      <c r="AS37" s="4">
        <f t="shared" ref="AS37" si="25">AS32-AS36</f>
        <v>27073</v>
      </c>
      <c r="AT37" s="4">
        <f t="shared" ref="AT37" si="26">AT32-AT36</f>
        <v>31835</v>
      </c>
      <c r="AU37" s="4">
        <f t="shared" ref="AU37" si="27">AU32-AU36</f>
        <v>36330</v>
      </c>
      <c r="AV37" s="4">
        <f t="shared" ref="AV37" si="28">AV32-AV36</f>
        <v>36386</v>
      </c>
    </row>
    <row r="38" spans="2:48" s="3" customFormat="1" x14ac:dyDescent="0.2">
      <c r="B38" s="3" t="s">
        <v>29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>
        <v>-397</v>
      </c>
      <c r="T38" s="4">
        <v>-410</v>
      </c>
      <c r="U38" s="4"/>
      <c r="V38" s="4"/>
      <c r="W38" s="4">
        <v>-433</v>
      </c>
      <c r="X38" s="4">
        <v>-467</v>
      </c>
      <c r="Y38" s="4"/>
      <c r="Z38" s="4"/>
      <c r="AA38" s="3">
        <v>-754</v>
      </c>
      <c r="AB38" s="3">
        <v>-828</v>
      </c>
      <c r="AC38" s="3">
        <v>-834</v>
      </c>
      <c r="AD38" s="3">
        <v>-830</v>
      </c>
      <c r="AE38" s="3">
        <v>-985</v>
      </c>
      <c r="AF38" s="3">
        <v>-985</v>
      </c>
      <c r="AG38" s="3">
        <v>-1074</v>
      </c>
      <c r="AH38" s="3">
        <v>-1003</v>
      </c>
      <c r="AI38" s="3">
        <v>-998</v>
      </c>
      <c r="AJ38" s="3">
        <v>-1027</v>
      </c>
      <c r="AQ38" s="3">
        <v>-1704</v>
      </c>
      <c r="AR38" s="3">
        <v>-1663</v>
      </c>
      <c r="AS38" s="3">
        <v>-1660</v>
      </c>
      <c r="AT38" s="3">
        <v>-2092</v>
      </c>
      <c r="AU38" s="3">
        <v>-3246</v>
      </c>
      <c r="AV38" s="3">
        <v>-3906</v>
      </c>
    </row>
    <row r="39" spans="2:48" s="3" customFormat="1" x14ac:dyDescent="0.2">
      <c r="B39" s="3" t="s">
        <v>28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>
        <f t="shared" ref="S39" si="29">+S37+S38</f>
        <v>7100</v>
      </c>
      <c r="T39" s="4">
        <f>+T37+T38</f>
        <v>6346</v>
      </c>
      <c r="U39" s="4"/>
      <c r="V39" s="4"/>
      <c r="W39" s="4">
        <f t="shared" ref="W39" si="30">+W37+W38</f>
        <v>7305</v>
      </c>
      <c r="X39" s="4">
        <f>+X37+X38</f>
        <v>7467</v>
      </c>
      <c r="Y39" s="4"/>
      <c r="Z39" s="4"/>
      <c r="AA39" s="4">
        <f t="shared" ref="AA39:AF39" si="31">+AA37+AA38</f>
        <v>8302</v>
      </c>
      <c r="AB39" s="4">
        <f t="shared" si="31"/>
        <v>8250</v>
      </c>
      <c r="AC39" s="4">
        <f t="shared" si="31"/>
        <v>8699</v>
      </c>
      <c r="AD39" s="4">
        <f t="shared" si="31"/>
        <v>7833</v>
      </c>
      <c r="AE39" s="4">
        <f t="shared" si="31"/>
        <v>7943</v>
      </c>
      <c r="AF39" s="4">
        <f t="shared" si="31"/>
        <v>7910</v>
      </c>
      <c r="AG39" s="4">
        <f t="shared" ref="AG39:AJ39" si="32">+AG37+AG38</f>
        <v>8675</v>
      </c>
      <c r="AH39" s="4">
        <f t="shared" si="32"/>
        <v>7811</v>
      </c>
      <c r="AI39" s="4">
        <f t="shared" si="32"/>
        <v>9182</v>
      </c>
      <c r="AJ39" s="4">
        <f t="shared" si="32"/>
        <v>5207</v>
      </c>
      <c r="AQ39" s="3">
        <f t="shared" ref="AQ39:AV39" si="33">+AQ37+AQ38</f>
        <v>20701</v>
      </c>
      <c r="AR39" s="3">
        <f t="shared" si="33"/>
        <v>23633</v>
      </c>
      <c r="AS39" s="3">
        <f t="shared" si="33"/>
        <v>25413</v>
      </c>
      <c r="AT39" s="3">
        <f t="shared" si="33"/>
        <v>29743</v>
      </c>
      <c r="AU39" s="3">
        <f t="shared" si="33"/>
        <v>33084</v>
      </c>
      <c r="AV39" s="3">
        <f t="shared" si="33"/>
        <v>32480</v>
      </c>
    </row>
    <row r="40" spans="2:48" s="3" customFormat="1" x14ac:dyDescent="0.2">
      <c r="B40" s="3" t="s">
        <v>31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>
        <f>1364+116</f>
        <v>1480</v>
      </c>
      <c r="T40" s="4">
        <v>1196</v>
      </c>
      <c r="U40" s="4"/>
      <c r="V40" s="4"/>
      <c r="W40" s="4">
        <f>1369+121</f>
        <v>1490</v>
      </c>
      <c r="X40" s="4">
        <v>1466</v>
      </c>
      <c r="Y40" s="4"/>
      <c r="Z40" s="4"/>
      <c r="AA40" s="4">
        <f>1558+163</f>
        <v>1721</v>
      </c>
      <c r="AB40" s="4">
        <f>1572+183</f>
        <v>1755</v>
      </c>
      <c r="AC40" s="3">
        <f>1654+197</f>
        <v>1851</v>
      </c>
      <c r="AD40" s="3">
        <f>-1184-220</f>
        <v>-1404</v>
      </c>
      <c r="AE40" s="4">
        <f>1222+188</f>
        <v>1410</v>
      </c>
      <c r="AF40" s="4">
        <f>1244+205</f>
        <v>1449</v>
      </c>
      <c r="AG40" s="3">
        <f>1356+203</f>
        <v>1559</v>
      </c>
      <c r="AH40" s="3">
        <f>-1007-241</f>
        <v>-1248</v>
      </c>
      <c r="AI40" s="3">
        <f>1632+182</f>
        <v>1814</v>
      </c>
      <c r="AJ40" s="3">
        <f>510+166</f>
        <v>676</v>
      </c>
      <c r="AQ40" s="3">
        <v>3742</v>
      </c>
      <c r="AR40" s="3">
        <v>4973</v>
      </c>
      <c r="AS40" s="3">
        <v>4578</v>
      </c>
      <c r="AT40" s="3">
        <v>5704</v>
      </c>
      <c r="AU40" s="3">
        <v>5986</v>
      </c>
      <c r="AV40" s="3">
        <v>4829</v>
      </c>
    </row>
    <row r="41" spans="2:48" s="3" customFormat="1" x14ac:dyDescent="0.2">
      <c r="B41" s="3" t="s">
        <v>32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>
        <f t="shared" ref="S41" si="34">+S39-S40</f>
        <v>5620</v>
      </c>
      <c r="T41" s="4">
        <f>+T39-T40</f>
        <v>5150</v>
      </c>
      <c r="U41" s="4"/>
      <c r="V41" s="4"/>
      <c r="W41" s="4">
        <f t="shared" ref="W41" si="35">+W39-W40</f>
        <v>5815</v>
      </c>
      <c r="X41" s="4">
        <f>+X39-X40</f>
        <v>6001</v>
      </c>
      <c r="Y41" s="4"/>
      <c r="Z41" s="4"/>
      <c r="AA41" s="4">
        <f t="shared" ref="AA41:AF41" si="36">+AA39-AA40</f>
        <v>6581</v>
      </c>
      <c r="AB41" s="4">
        <f t="shared" si="36"/>
        <v>6495</v>
      </c>
      <c r="AC41" s="4">
        <f t="shared" si="36"/>
        <v>6848</v>
      </c>
      <c r="AD41" s="4">
        <f t="shared" si="36"/>
        <v>9237</v>
      </c>
      <c r="AE41" s="4">
        <f t="shared" si="36"/>
        <v>6533</v>
      </c>
      <c r="AF41" s="4">
        <f t="shared" si="36"/>
        <v>6461</v>
      </c>
      <c r="AG41" s="4">
        <f t="shared" ref="AG41:AJ41" si="37">+AG39-AG40</f>
        <v>7116</v>
      </c>
      <c r="AH41" s="4">
        <f t="shared" si="37"/>
        <v>9059</v>
      </c>
      <c r="AI41" s="4">
        <f t="shared" si="37"/>
        <v>7368</v>
      </c>
      <c r="AJ41" s="4">
        <f t="shared" si="37"/>
        <v>4531</v>
      </c>
      <c r="AQ41" s="3">
        <f t="shared" ref="AQ41:AV41" si="38">+AQ39-AQ40</f>
        <v>16959</v>
      </c>
      <c r="AR41" s="3">
        <f t="shared" si="38"/>
        <v>18660</v>
      </c>
      <c r="AS41" s="3">
        <f t="shared" si="38"/>
        <v>20835</v>
      </c>
      <c r="AT41" s="3">
        <f t="shared" si="38"/>
        <v>24039</v>
      </c>
      <c r="AU41" s="3">
        <f t="shared" si="38"/>
        <v>27098</v>
      </c>
      <c r="AV41" s="3">
        <f t="shared" si="38"/>
        <v>27651</v>
      </c>
    </row>
    <row r="42" spans="2:48" x14ac:dyDescent="0.2">
      <c r="B42" s="3" t="s">
        <v>33</v>
      </c>
      <c r="S42" s="7">
        <f t="shared" ref="S42" si="39">S41/S43</f>
        <v>5.8725182863113901</v>
      </c>
      <c r="T42" s="7">
        <f>T41/T43</f>
        <v>5.3870292887029292</v>
      </c>
      <c r="W42" s="7">
        <f t="shared" ref="W42" si="40">W41/W43</f>
        <v>6.0953878406708597</v>
      </c>
      <c r="X42" s="7">
        <f>X41/X43</f>
        <v>6.3168421052631576</v>
      </c>
      <c r="AA42" s="7">
        <f t="shared" ref="AA42:AF42" si="41">AA41/AA43</f>
        <v>6.9787910922587484</v>
      </c>
      <c r="AB42" s="7">
        <f t="shared" si="41"/>
        <v>6.9095744680851068</v>
      </c>
      <c r="AC42" s="7">
        <f t="shared" si="41"/>
        <v>7.316239316239316</v>
      </c>
      <c r="AD42" s="7">
        <f t="shared" si="41"/>
        <v>9.8791443850267378</v>
      </c>
      <c r="AE42" s="7">
        <f t="shared" si="41"/>
        <v>7.0856832971800436</v>
      </c>
      <c r="AF42" s="7">
        <f t="shared" si="41"/>
        <v>6.962284482758621</v>
      </c>
      <c r="AG42" s="7">
        <f t="shared" ref="AG42:AJ42" si="42">AG41/AG43</f>
        <v>7.6516129032258062</v>
      </c>
      <c r="AH42" s="7">
        <f t="shared" si="42"/>
        <v>9.7723840345199573</v>
      </c>
      <c r="AI42" s="7">
        <f t="shared" si="42"/>
        <v>8.0261437908496731</v>
      </c>
      <c r="AJ42" s="7">
        <f t="shared" si="42"/>
        <v>4.9791208791208792</v>
      </c>
      <c r="AP42" s="1"/>
      <c r="AQ42" s="1">
        <f t="shared" ref="AQ42:AV42" si="43">+AQ41/AQ43</f>
        <v>17.555900621118013</v>
      </c>
      <c r="AR42" s="1">
        <f t="shared" si="43"/>
        <v>19.417273673257025</v>
      </c>
      <c r="AS42" s="1">
        <f t="shared" si="43"/>
        <v>21.793933054393307</v>
      </c>
      <c r="AT42" s="1">
        <f t="shared" si="43"/>
        <v>25.304210526315789</v>
      </c>
      <c r="AU42" s="1">
        <f t="shared" si="43"/>
        <v>28.889125799573559</v>
      </c>
      <c r="AV42" s="1">
        <f t="shared" si="43"/>
        <v>29.764262648008611</v>
      </c>
    </row>
    <row r="43" spans="2:48" x14ac:dyDescent="0.2">
      <c r="B43" s="3" t="s">
        <v>1</v>
      </c>
      <c r="S43" s="2">
        <v>957</v>
      </c>
      <c r="T43" s="2">
        <v>956</v>
      </c>
      <c r="W43" s="2">
        <v>954</v>
      </c>
      <c r="X43" s="2">
        <v>950</v>
      </c>
      <c r="AA43" s="2">
        <v>943</v>
      </c>
      <c r="AB43" s="2">
        <v>940</v>
      </c>
      <c r="AC43" s="2">
        <v>936</v>
      </c>
      <c r="AD43" s="2">
        <v>935</v>
      </c>
      <c r="AE43" s="2">
        <v>922</v>
      </c>
      <c r="AF43" s="2">
        <v>928</v>
      </c>
      <c r="AG43" s="2">
        <v>930</v>
      </c>
      <c r="AH43" s="2">
        <v>927</v>
      </c>
      <c r="AI43">
        <v>918</v>
      </c>
      <c r="AJ43">
        <v>910</v>
      </c>
      <c r="AQ43">
        <v>966</v>
      </c>
      <c r="AR43">
        <v>961</v>
      </c>
      <c r="AS43">
        <v>956</v>
      </c>
      <c r="AT43">
        <v>950</v>
      </c>
      <c r="AU43">
        <v>938</v>
      </c>
      <c r="AV43">
        <v>929</v>
      </c>
    </row>
    <row r="45" spans="2:48" s="9" customFormat="1" x14ac:dyDescent="0.2">
      <c r="B45" s="9" t="s">
        <v>35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>
        <f t="shared" ref="S45" si="44">S33/S28</f>
        <v>0.80928522510182754</v>
      </c>
      <c r="T45" s="10">
        <f>T33/T28</f>
        <v>0.82773460423594691</v>
      </c>
      <c r="U45" s="10"/>
      <c r="V45" s="10"/>
      <c r="W45" s="10">
        <f>W33/W28</f>
        <v>0.81977524582487904</v>
      </c>
      <c r="X45" s="10">
        <f>X33/X28</f>
        <v>0.81527795167146611</v>
      </c>
      <c r="Y45" s="10" t="e">
        <f t="shared" ref="Y45:AJ45" si="45">Y33/Y28</f>
        <v>#DIV/0!</v>
      </c>
      <c r="Z45" s="10" t="e">
        <f t="shared" si="45"/>
        <v>#DIV/0!</v>
      </c>
      <c r="AA45" s="10">
        <f t="shared" si="45"/>
        <v>0.82220481960816638</v>
      </c>
      <c r="AB45" s="10">
        <f t="shared" si="45"/>
        <v>0.8315809807655159</v>
      </c>
      <c r="AC45" s="10">
        <f t="shared" si="45"/>
        <v>0.82320739849873514</v>
      </c>
      <c r="AD45" s="10">
        <f t="shared" si="45"/>
        <v>0.84982520347408097</v>
      </c>
      <c r="AE45" s="10">
        <f t="shared" si="45"/>
        <v>0.84288608503872386</v>
      </c>
      <c r="AF45" s="10">
        <f t="shared" si="45"/>
        <v>0.85124257123164748</v>
      </c>
      <c r="AG45" s="10">
        <f t="shared" si="45"/>
        <v>0.85169546241057825</v>
      </c>
      <c r="AH45" s="10">
        <f t="shared" si="45"/>
        <v>0.87646928075520047</v>
      </c>
      <c r="AI45" s="10">
        <f t="shared" si="45"/>
        <v>0.84834862597360572</v>
      </c>
      <c r="AJ45" s="10">
        <f t="shared" si="45"/>
        <v>0.89397645185143049</v>
      </c>
      <c r="AK45" s="10"/>
      <c r="AL45" s="10"/>
      <c r="AM45" s="10"/>
      <c r="AQ45" s="10">
        <f t="shared" ref="AQ45:AR45" si="46">AQ33/AQ28</f>
        <v>0.82467487967780539</v>
      </c>
      <c r="AR45" s="10">
        <f t="shared" si="46"/>
        <v>0.79113352326308584</v>
      </c>
      <c r="AS45" s="10">
        <f t="shared" ref="AS45:AV45" si="47">AS33/AS28</f>
        <v>0.82618804506857979</v>
      </c>
      <c r="AT45" s="10">
        <f t="shared" si="47"/>
        <v>0.81989601683018543</v>
      </c>
      <c r="AU45" s="10">
        <f t="shared" si="47"/>
        <v>0.83174533313619436</v>
      </c>
      <c r="AV45" s="10">
        <f t="shared" si="47"/>
        <v>0.8554936692464622</v>
      </c>
    </row>
    <row r="47" spans="2:48" s="13" customFormat="1" x14ac:dyDescent="0.2">
      <c r="B47" s="13" t="s">
        <v>36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5">
        <f>W32/S32-1</f>
        <v>0.1417887059091687</v>
      </c>
      <c r="X47" s="15">
        <f>X32/T32-1</f>
        <v>0.12634427447736285</v>
      </c>
      <c r="Y47" s="14"/>
      <c r="Z47" s="14"/>
      <c r="AE47" s="16">
        <f t="shared" ref="AE47:AJ47" si="48">+AE32/AA32-1</f>
        <v>8.5553295406337382E-2</v>
      </c>
      <c r="AF47" s="16">
        <f t="shared" si="48"/>
        <v>6.4066822384637678E-2</v>
      </c>
      <c r="AG47" s="16">
        <f t="shared" si="48"/>
        <v>9.158627559251209E-2</v>
      </c>
      <c r="AH47" s="16">
        <f t="shared" si="48"/>
        <v>6.7565420907155893E-2</v>
      </c>
      <c r="AI47" s="16">
        <f t="shared" si="48"/>
        <v>9.7989899394765212E-2</v>
      </c>
      <c r="AJ47" s="16">
        <f t="shared" si="48"/>
        <v>0.12908805826715897</v>
      </c>
      <c r="AR47" s="16">
        <f>+AR32/AQ32-1</f>
        <v>6.1885982118890848E-2</v>
      </c>
      <c r="AS47" s="16">
        <f>+AS32/AR32-1</f>
        <v>0.11844085540617799</v>
      </c>
      <c r="AT47" s="16">
        <f>+AT32/AS32-1</f>
        <v>0.12713971286209524</v>
      </c>
      <c r="AU47" s="16">
        <f>+AU32/AT32-1</f>
        <v>0.14640827734281014</v>
      </c>
      <c r="AV47" s="16">
        <f>+AV32/AU32-1</f>
        <v>7.7110612396467326E-2</v>
      </c>
    </row>
    <row r="48" spans="2:48" x14ac:dyDescent="0.2">
      <c r="B48" t="s">
        <v>37</v>
      </c>
      <c r="W48" s="8">
        <f>W28/S28-1</f>
        <v>0.15470569152579028</v>
      </c>
      <c r="X48" s="8">
        <f>X28/T28-1</f>
        <v>0.13627229562712295</v>
      </c>
      <c r="AE48" s="12">
        <f>+AE28/AA28-1</f>
        <v>7.1469788146071966E-2</v>
      </c>
      <c r="AF48" s="12">
        <f>+AF28/AB28-1</f>
        <v>6.1028782735877751E-2</v>
      </c>
      <c r="AR48" s="12">
        <f>+AR28/AQ28-1</f>
        <v>6.2093105393280945E-2</v>
      </c>
      <c r="AS48" s="12">
        <f>+AS28/AR28-1</f>
        <v>0.12286701277558842</v>
      </c>
      <c r="AT48" s="12">
        <f>+AT28/AS28-1</f>
        <v>0.13669093368341478</v>
      </c>
      <c r="AU48" s="12">
        <f>+AU28/AT28-1</f>
        <v>0.13093168764606844</v>
      </c>
      <c r="AV48" s="12">
        <f>+AV28/AU28-1</f>
        <v>6.1834011285059498E-2</v>
      </c>
    </row>
    <row r="50" spans="2:48" s="3" customFormat="1" x14ac:dyDescent="0.2">
      <c r="B50" s="3" t="s">
        <v>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f>25482+2914+42353</f>
        <v>70749</v>
      </c>
      <c r="X50" s="4">
        <f>24612+3352+42427</f>
        <v>70391</v>
      </c>
      <c r="Y50" s="4"/>
      <c r="Z50" s="4"/>
      <c r="AE50" s="3">
        <f>28414+4296+45928</f>
        <v>78638</v>
      </c>
      <c r="AF50" s="3">
        <f>26286+5037+46113</f>
        <v>77436</v>
      </c>
      <c r="AI50" s="3">
        <f>30717+3574+51863</f>
        <v>86154</v>
      </c>
      <c r="AU50" s="3">
        <f>25427+4201+47609</f>
        <v>77237</v>
      </c>
      <c r="AV50" s="3">
        <f>25312+3801+52354</f>
        <v>81467</v>
      </c>
    </row>
    <row r="51" spans="2:48" s="3" customFormat="1" x14ac:dyDescent="0.2">
      <c r="B51" s="3" t="s">
        <v>59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18871</v>
      </c>
      <c r="X51" s="4">
        <v>18718</v>
      </c>
      <c r="Y51" s="4"/>
      <c r="Z51" s="4"/>
      <c r="AE51" s="3">
        <v>27197</v>
      </c>
      <c r="AF51" s="3">
        <v>23115</v>
      </c>
      <c r="AI51" s="3">
        <v>26936</v>
      </c>
      <c r="AU51" s="3">
        <v>21276</v>
      </c>
      <c r="AV51" s="3">
        <v>22365</v>
      </c>
    </row>
    <row r="52" spans="2:48" s="3" customFormat="1" x14ac:dyDescent="0.2">
      <c r="B52" s="3" t="s">
        <v>60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11994</v>
      </c>
      <c r="X52" s="4">
        <v>12439</v>
      </c>
      <c r="Y52" s="4"/>
      <c r="Z52" s="4"/>
      <c r="AE52" s="3">
        <v>19284</v>
      </c>
      <c r="AF52" s="3">
        <v>26762</v>
      </c>
      <c r="AI52" s="3">
        <v>26022</v>
      </c>
      <c r="AU52" s="3">
        <v>17694</v>
      </c>
      <c r="AV52" s="3">
        <v>26089</v>
      </c>
    </row>
    <row r="53" spans="2:48" s="3" customFormat="1" x14ac:dyDescent="0.2">
      <c r="B53" s="3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>
        <v>4155</v>
      </c>
      <c r="X53" s="4">
        <v>4017</v>
      </c>
      <c r="Y53" s="4"/>
      <c r="Z53" s="4"/>
      <c r="AE53" s="3">
        <v>3619</v>
      </c>
      <c r="AF53" s="3">
        <v>3414</v>
      </c>
      <c r="AI53" s="3">
        <v>0</v>
      </c>
      <c r="AU53" s="3">
        <v>3755</v>
      </c>
      <c r="AV53" s="3">
        <v>0</v>
      </c>
    </row>
    <row r="54" spans="2:48" s="3" customFormat="1" x14ac:dyDescent="0.2">
      <c r="B54" s="3" t="s">
        <v>62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5613</v>
      </c>
      <c r="X54" s="4">
        <v>5218</v>
      </c>
      <c r="Y54" s="4"/>
      <c r="Z54" s="4"/>
      <c r="AE54" s="3">
        <v>6132</v>
      </c>
      <c r="AF54" s="3">
        <v>7424</v>
      </c>
      <c r="AI54" s="3">
        <v>9036</v>
      </c>
      <c r="AU54" s="3">
        <v>6084</v>
      </c>
      <c r="AV54" s="3">
        <v>8212</v>
      </c>
    </row>
    <row r="55" spans="2:48" s="3" customFormat="1" x14ac:dyDescent="0.2">
      <c r="B55" s="3" t="s">
        <v>63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>
        <v>9183</v>
      </c>
      <c r="X55" s="4">
        <v>9421</v>
      </c>
      <c r="Y55" s="4"/>
      <c r="Z55" s="4"/>
      <c r="AE55" s="3">
        <v>10429</v>
      </c>
      <c r="AF55" s="3">
        <v>9801</v>
      </c>
      <c r="AI55" s="3">
        <v>10734</v>
      </c>
      <c r="AU55" s="3">
        <v>11450</v>
      </c>
      <c r="AV55" s="3">
        <v>10553</v>
      </c>
    </row>
    <row r="56" spans="2:48" s="3" customFormat="1" x14ac:dyDescent="0.2">
      <c r="B56" s="3" t="s">
        <v>64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>
        <f>77548+9918</f>
        <v>87466</v>
      </c>
      <c r="X56" s="4">
        <f>84159+11285</f>
        <v>95444</v>
      </c>
      <c r="Y56" s="4"/>
      <c r="Z56" s="4"/>
      <c r="AE56" s="3">
        <f>105664+15543</f>
        <v>121207</v>
      </c>
      <c r="AF56" s="3">
        <f>105436+14729</f>
        <v>120165</v>
      </c>
      <c r="AI56" s="3">
        <f>22947+107566</f>
        <v>130513</v>
      </c>
      <c r="AU56" s="3">
        <f>103732+15194</f>
        <v>118926</v>
      </c>
      <c r="AV56" s="3">
        <f>106734+23268</f>
        <v>130002</v>
      </c>
    </row>
    <row r="57" spans="2:48" s="3" customFormat="1" x14ac:dyDescent="0.2">
      <c r="B57" s="3" t="s">
        <v>65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13207</v>
      </c>
      <c r="X57" s="4">
        <v>14524</v>
      </c>
      <c r="Y57" s="4"/>
      <c r="Z57" s="4"/>
      <c r="AE57" s="3">
        <v>17704</v>
      </c>
      <c r="AF57" s="3">
        <v>17939</v>
      </c>
      <c r="AI57" s="3">
        <v>20395</v>
      </c>
      <c r="AU57" s="3">
        <v>17298</v>
      </c>
      <c r="AV57" s="3">
        <v>19590</v>
      </c>
    </row>
    <row r="58" spans="2:48" s="3" customFormat="1" x14ac:dyDescent="0.2">
      <c r="B58" s="3" t="s">
        <v>58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>
        <f t="shared" ref="W58" si="49">SUM(W50:W57)</f>
        <v>221238</v>
      </c>
      <c r="X58" s="4">
        <f>SUM(X50:X57)</f>
        <v>230172</v>
      </c>
      <c r="Y58" s="4"/>
      <c r="Z58" s="4"/>
      <c r="AE58" s="4">
        <f t="shared" ref="AE58" si="50">SUM(AE50:AE57)</f>
        <v>284210</v>
      </c>
      <c r="AF58" s="4">
        <f>SUM(AF50:AF57)</f>
        <v>286056</v>
      </c>
      <c r="AG58" s="4">
        <f>SUM(AG50:AG57)</f>
        <v>0</v>
      </c>
      <c r="AH58" s="4">
        <f>SUM(AH50:AH57)</f>
        <v>0</v>
      </c>
      <c r="AI58" s="4">
        <f>SUM(AI50:AI57)</f>
        <v>309790</v>
      </c>
      <c r="AJ58" s="4">
        <f>SUM(AJ50:AJ57)</f>
        <v>0</v>
      </c>
      <c r="AU58" s="3">
        <f>SUM(AU50:AU57)</f>
        <v>273720</v>
      </c>
      <c r="AV58" s="3">
        <f>SUM(AV50:AV57)</f>
        <v>298278</v>
      </c>
    </row>
    <row r="60" spans="2:48" s="3" customFormat="1" x14ac:dyDescent="0.2">
      <c r="B60" s="3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28676</v>
      </c>
      <c r="X60" s="4">
        <v>28978</v>
      </c>
      <c r="Y60" s="4"/>
      <c r="Z60" s="4"/>
      <c r="AE60" s="3">
        <v>34032</v>
      </c>
      <c r="AF60" s="3">
        <v>32547</v>
      </c>
      <c r="AI60" s="3">
        <v>37136</v>
      </c>
      <c r="AU60" s="3">
        <v>32395</v>
      </c>
      <c r="AV60" s="3">
        <v>34224</v>
      </c>
    </row>
    <row r="61" spans="2:48" s="3" customFormat="1" x14ac:dyDescent="0.2">
      <c r="B61" s="3" t="s">
        <v>67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>
        <v>25058</v>
      </c>
      <c r="X61" s="4">
        <v>25145</v>
      </c>
      <c r="Y61" s="4"/>
      <c r="Z61" s="4"/>
      <c r="AE61" s="3">
        <v>30738</v>
      </c>
      <c r="AF61" s="3">
        <v>30886</v>
      </c>
      <c r="AI61" s="3">
        <v>33566</v>
      </c>
      <c r="AU61" s="3">
        <v>31958</v>
      </c>
      <c r="AV61" s="3">
        <v>34337</v>
      </c>
    </row>
    <row r="62" spans="2:48" s="3" customFormat="1" x14ac:dyDescent="0.2">
      <c r="B62" s="3" t="s">
        <v>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f>6697+40796</f>
        <v>47493</v>
      </c>
      <c r="X62" s="4">
        <f>5592+45799</f>
        <v>51391</v>
      </c>
      <c r="Y62" s="4"/>
      <c r="Z62" s="4"/>
      <c r="AE62" s="3">
        <f>9787+63850</f>
        <v>73637</v>
      </c>
      <c r="AF62" s="3">
        <f>11371+63727</f>
        <v>75098</v>
      </c>
      <c r="AI62" s="3">
        <f>9986+71285</f>
        <v>81271</v>
      </c>
      <c r="AU62" s="3">
        <f>4274+58263</f>
        <v>62537</v>
      </c>
      <c r="AV62" s="3">
        <f>4545+72359</f>
        <v>76904</v>
      </c>
    </row>
    <row r="63" spans="2:48" s="3" customFormat="1" x14ac:dyDescent="0.2">
      <c r="B63" s="3" t="s">
        <v>68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2675</v>
      </c>
      <c r="X63" s="4">
        <v>2212</v>
      </c>
      <c r="Y63" s="4"/>
      <c r="Z63" s="4"/>
      <c r="AE63" s="3">
        <v>3206</v>
      </c>
      <c r="AF63" s="3">
        <v>2572</v>
      </c>
      <c r="AI63" s="3">
        <v>3296</v>
      </c>
      <c r="AU63" s="3">
        <v>3355</v>
      </c>
      <c r="AV63" s="3">
        <v>3317</v>
      </c>
    </row>
    <row r="64" spans="2:48" s="3" customFormat="1" x14ac:dyDescent="0.2">
      <c r="B64" s="3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>
        <v>25064</v>
      </c>
      <c r="X64" s="4">
        <v>26771</v>
      </c>
      <c r="Y64" s="4"/>
      <c r="Z64" s="4"/>
      <c r="AE64" s="3">
        <v>26668</v>
      </c>
      <c r="AF64" s="3">
        <v>27294</v>
      </c>
      <c r="AI64" s="3">
        <v>29487</v>
      </c>
      <c r="AU64" s="3">
        <v>27072</v>
      </c>
      <c r="AV64" s="3">
        <v>27346</v>
      </c>
    </row>
    <row r="65" spans="2:48" s="3" customFormat="1" x14ac:dyDescent="0.2">
      <c r="B65" s="3" t="s">
        <v>70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2954</v>
      </c>
      <c r="X65" s="4">
        <v>2581</v>
      </c>
      <c r="Y65" s="4"/>
      <c r="Z65" s="4"/>
      <c r="AE65" s="3">
        <v>4167</v>
      </c>
      <c r="AF65" s="3">
        <v>3631</v>
      </c>
      <c r="AI65" s="3">
        <v>3902</v>
      </c>
      <c r="AU65" s="3">
        <v>3021</v>
      </c>
      <c r="AV65" s="3">
        <v>3620</v>
      </c>
    </row>
    <row r="66" spans="2:48" s="3" customFormat="1" x14ac:dyDescent="0.2">
      <c r="B66" s="3" t="s">
        <v>71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>
        <v>11671</v>
      </c>
      <c r="X66" s="4">
        <v>11967</v>
      </c>
      <c r="Y66" s="4"/>
      <c r="Z66" s="4"/>
      <c r="AE66" s="3">
        <v>14844</v>
      </c>
      <c r="AF66" s="3">
        <v>14794</v>
      </c>
      <c r="AI66" s="3">
        <v>15963</v>
      </c>
      <c r="AU66" s="3">
        <v>14463</v>
      </c>
      <c r="AV66" s="3">
        <v>15939</v>
      </c>
    </row>
    <row r="67" spans="2:48" s="3" customFormat="1" x14ac:dyDescent="0.2">
      <c r="B67" s="3" t="s">
        <v>72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f>1519+76128</f>
        <v>77647</v>
      </c>
      <c r="X67" s="4">
        <f>76205+4922</f>
        <v>81127</v>
      </c>
      <c r="Y67" s="4"/>
      <c r="Z67" s="4"/>
      <c r="AE67" s="3">
        <f>4548+92370</f>
        <v>96918</v>
      </c>
      <c r="AF67" s="3">
        <f>94676+4558</f>
        <v>99234</v>
      </c>
      <c r="AI67" s="3">
        <f>100811+4358</f>
        <v>105169</v>
      </c>
      <c r="AU67" s="3">
        <f>94421+4498</f>
        <v>98919</v>
      </c>
      <c r="AV67" s="3">
        <f>98268+4323</f>
        <v>102591</v>
      </c>
    </row>
    <row r="68" spans="2:48" s="3" customFormat="1" x14ac:dyDescent="0.2">
      <c r="B68" s="3" t="s">
        <v>73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f t="shared" ref="W68" si="51">SUM(W60:W67)</f>
        <v>221238</v>
      </c>
      <c r="X68" s="4">
        <f>SUM(X60:X67)</f>
        <v>230172</v>
      </c>
      <c r="Y68" s="4"/>
      <c r="Z68" s="4"/>
      <c r="AE68" s="4">
        <f t="shared" ref="AE68" si="52">SUM(AE60:AE67)</f>
        <v>284210</v>
      </c>
      <c r="AF68" s="4">
        <f>SUM(AF60:AF67)</f>
        <v>286056</v>
      </c>
      <c r="AG68" s="4">
        <f t="shared" ref="AG68:AI68" si="53">SUM(AG60:AG67)</f>
        <v>0</v>
      </c>
      <c r="AH68" s="4">
        <f t="shared" si="53"/>
        <v>0</v>
      </c>
      <c r="AI68" s="4">
        <f t="shared" si="53"/>
        <v>309790</v>
      </c>
      <c r="AU68" s="3">
        <f>SUM(AU60:AU67)</f>
        <v>273720</v>
      </c>
      <c r="AV68" s="3">
        <f>SUM(AV60:AV67)</f>
        <v>298278</v>
      </c>
    </row>
    <row r="70" spans="2:48" s="3" customFormat="1" x14ac:dyDescent="0.2">
      <c r="B70" s="3" t="s">
        <v>94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E70" s="3">
        <f>+AE41</f>
        <v>6533</v>
      </c>
      <c r="AF70" s="3">
        <f>+AF41</f>
        <v>6461</v>
      </c>
      <c r="AG70" s="3">
        <f>+AG41</f>
        <v>7116</v>
      </c>
      <c r="AH70" s="3">
        <f>+AH41</f>
        <v>9059</v>
      </c>
      <c r="AI70" s="3">
        <f>+AI41</f>
        <v>7368</v>
      </c>
      <c r="AQ70" s="3">
        <f t="shared" ref="AQ70:AV70" si="54">+AQ41</f>
        <v>16959</v>
      </c>
      <c r="AR70" s="3">
        <f t="shared" si="54"/>
        <v>18660</v>
      </c>
      <c r="AS70" s="3">
        <f t="shared" si="54"/>
        <v>20835</v>
      </c>
      <c r="AT70" s="3">
        <f t="shared" si="54"/>
        <v>24039</v>
      </c>
      <c r="AU70" s="3">
        <f t="shared" si="54"/>
        <v>27098</v>
      </c>
      <c r="AV70" s="3">
        <f t="shared" si="54"/>
        <v>27651</v>
      </c>
    </row>
    <row r="71" spans="2:48" s="3" customFormat="1" x14ac:dyDescent="0.2">
      <c r="B71" s="3" t="s">
        <v>100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E71" s="3">
        <v>-1221</v>
      </c>
      <c r="AF71" s="3">
        <f>3200-AE71</f>
        <v>4421</v>
      </c>
      <c r="AI71" s="3">
        <v>6474</v>
      </c>
      <c r="AQ71" s="3">
        <v>14239</v>
      </c>
      <c r="AR71" s="3">
        <v>15769</v>
      </c>
      <c r="AS71" s="3">
        <v>17732</v>
      </c>
      <c r="AT71" s="3">
        <v>20639</v>
      </c>
      <c r="AU71" s="3">
        <v>23144</v>
      </c>
      <c r="AV71" s="3">
        <v>15242</v>
      </c>
    </row>
    <row r="72" spans="2:48" s="3" customFormat="1" x14ac:dyDescent="0.2">
      <c r="B72" s="3" t="s">
        <v>101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E72" s="3">
        <v>997</v>
      </c>
      <c r="AF72" s="3">
        <f>2017-AE72</f>
        <v>1020</v>
      </c>
      <c r="AI72" s="3">
        <v>1061</v>
      </c>
      <c r="AQ72" s="3">
        <v>2720</v>
      </c>
      <c r="AR72" s="3">
        <v>2891</v>
      </c>
      <c r="AS72" s="3">
        <v>3103</v>
      </c>
      <c r="AT72" s="3">
        <v>3400</v>
      </c>
      <c r="AU72" s="3">
        <v>3972</v>
      </c>
      <c r="AV72" s="3">
        <v>4099</v>
      </c>
    </row>
    <row r="73" spans="2:48" s="3" customFormat="1" x14ac:dyDescent="0.2">
      <c r="B73" s="3" t="s">
        <v>70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E73" s="3">
        <v>-27</v>
      </c>
      <c r="AF73" s="3">
        <f>-358-AE73</f>
        <v>-331</v>
      </c>
      <c r="AI73" s="3">
        <v>64</v>
      </c>
      <c r="AQ73" s="3">
        <v>230</v>
      </c>
      <c r="AR73" s="3">
        <v>-8</v>
      </c>
      <c r="AS73" s="3">
        <v>130</v>
      </c>
      <c r="AT73" s="3">
        <v>-673</v>
      </c>
      <c r="AU73" s="3">
        <v>-245</v>
      </c>
      <c r="AV73" s="3">
        <v>-296</v>
      </c>
    </row>
    <row r="74" spans="2:48" s="3" customFormat="1" x14ac:dyDescent="0.2">
      <c r="B74" s="3" t="s">
        <v>102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E74" s="3">
        <v>372</v>
      </c>
      <c r="AF74" s="3">
        <f>594-AE74</f>
        <v>222</v>
      </c>
      <c r="AI74" s="3">
        <v>375</v>
      </c>
      <c r="AQ74" s="3">
        <v>697</v>
      </c>
      <c r="AR74" s="3">
        <v>679</v>
      </c>
      <c r="AS74" s="3">
        <v>800</v>
      </c>
      <c r="AT74" s="3">
        <v>925</v>
      </c>
      <c r="AU74" s="3">
        <v>1059</v>
      </c>
      <c r="AV74" s="3">
        <v>1018</v>
      </c>
    </row>
    <row r="75" spans="2:48" s="3" customFormat="1" x14ac:dyDescent="0.2">
      <c r="B75" s="3" t="s">
        <v>103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E75" s="3">
        <v>7086</v>
      </c>
      <c r="AF75" s="3">
        <f>8311-AE75</f>
        <v>1225</v>
      </c>
      <c r="AI75" s="3">
        <v>15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8310</v>
      </c>
    </row>
    <row r="76" spans="2:48" s="3" customFormat="1" x14ac:dyDescent="0.2">
      <c r="B76" s="3" t="s">
        <v>98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E76" s="3">
        <v>179</v>
      </c>
      <c r="AF76" s="3">
        <f>459-AE76</f>
        <v>280</v>
      </c>
      <c r="AI76" s="3">
        <v>97</v>
      </c>
      <c r="AQ76" s="3">
        <v>-106</v>
      </c>
      <c r="AR76" s="3">
        <v>-52</v>
      </c>
      <c r="AS76" s="3">
        <v>-944</v>
      </c>
      <c r="AT76" s="3">
        <f>-588+257</f>
        <v>-331</v>
      </c>
      <c r="AU76" s="3">
        <f>-489-16</f>
        <v>-505</v>
      </c>
      <c r="AV76" s="3">
        <f>-3333-28</f>
        <v>-3361</v>
      </c>
    </row>
    <row r="77" spans="2:48" s="3" customFormat="1" x14ac:dyDescent="0.2">
      <c r="B77" s="3" t="s">
        <v>104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E77" s="3">
        <f>-6162-1927+2069-231+9</f>
        <v>-6242</v>
      </c>
      <c r="AF77" s="3">
        <f>-2471-4121+777+36-554-AE77</f>
        <v>-91</v>
      </c>
      <c r="AI77" s="3">
        <f>-4462-544+2993-607-10</f>
        <v>-2630</v>
      </c>
      <c r="AQ77" s="3">
        <f>162-1563+1221+733+130</f>
        <v>683</v>
      </c>
      <c r="AR77" s="3">
        <f>-688-2195+152+5348+278</f>
        <v>2895</v>
      </c>
      <c r="AS77" s="3">
        <f>-1000-1031+2701+1162-310</f>
        <v>1522</v>
      </c>
      <c r="AT77" s="3">
        <f>-2523-1374+4053+1964+126</f>
        <v>2246</v>
      </c>
      <c r="AU77" s="3">
        <f>-3114-2444+3482+3516+203</f>
        <v>1643</v>
      </c>
      <c r="AV77" s="3">
        <f>-1437-4140+2503+2463-197</f>
        <v>-808</v>
      </c>
    </row>
    <row r="78" spans="2:48" s="3" customFormat="1" x14ac:dyDescent="0.2">
      <c r="B78" s="3" t="s">
        <v>95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E78" s="3">
        <f>SUM(AE71:AE77)</f>
        <v>1144</v>
      </c>
      <c r="AF78" s="3">
        <f>SUM(AF71:AF77)</f>
        <v>6746</v>
      </c>
      <c r="AI78" s="3">
        <f>SUM(AI71:AI77)</f>
        <v>5456</v>
      </c>
      <c r="AQ78" s="3">
        <f t="shared" ref="AQ78:AV78" si="55">SUM(AQ71:AQ77)</f>
        <v>18463</v>
      </c>
      <c r="AR78" s="3">
        <f t="shared" si="55"/>
        <v>22174</v>
      </c>
      <c r="AS78" s="3">
        <f t="shared" si="55"/>
        <v>22343</v>
      </c>
      <c r="AT78" s="3">
        <f t="shared" si="55"/>
        <v>26206</v>
      </c>
      <c r="AU78" s="3">
        <f t="shared" si="55"/>
        <v>29068</v>
      </c>
      <c r="AV78" s="3">
        <f t="shared" si="55"/>
        <v>24204</v>
      </c>
    </row>
    <row r="79" spans="2:48" s="3" customFormat="1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48" s="3" customFormat="1" x14ac:dyDescent="0.2">
      <c r="B80" s="3" t="s">
        <v>96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E80" s="3">
        <f>-4798+2976+2314</f>
        <v>492</v>
      </c>
      <c r="AF80" s="3">
        <f>-10130+5288+4621-AE80</f>
        <v>-713</v>
      </c>
      <c r="AI80" s="3">
        <f>-4135+3185+2167</f>
        <v>1217</v>
      </c>
      <c r="AQ80" s="3">
        <f>-18131+8536+7091</f>
        <v>-2504</v>
      </c>
      <c r="AR80" s="3">
        <f>-16577+6489+7252</f>
        <v>-2836</v>
      </c>
      <c r="AS80" s="3">
        <f>-17139+7045+8251</f>
        <v>-1843</v>
      </c>
      <c r="AT80" s="3">
        <f>-18825+5907+6081</f>
        <v>-6837</v>
      </c>
      <c r="AU80" s="3">
        <f>-18314+7307+9230</f>
        <v>-1777</v>
      </c>
      <c r="AV80" s="3">
        <f>-27308+18514+9319</f>
        <v>525</v>
      </c>
    </row>
    <row r="81" spans="2:48" s="3" customFormat="1" x14ac:dyDescent="0.2">
      <c r="B81" s="3" t="s">
        <v>85</v>
      </c>
      <c r="C81" s="4">
        <v>-468</v>
      </c>
      <c r="D81" s="4">
        <f>-704-C81</f>
        <v>-236</v>
      </c>
      <c r="E81" s="4">
        <f>-908-D81-C81</f>
        <v>-204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E81" s="3">
        <v>-3006</v>
      </c>
      <c r="AF81" s="3">
        <f>-3031-AE81</f>
        <v>-25</v>
      </c>
      <c r="AI81" s="3">
        <v>-702</v>
      </c>
      <c r="AQ81" s="3">
        <v>-8343</v>
      </c>
      <c r="AR81" s="3">
        <v>-7139</v>
      </c>
      <c r="AS81" s="3">
        <v>-4821</v>
      </c>
      <c r="AT81" s="3">
        <v>-21458</v>
      </c>
      <c r="AU81" s="3">
        <v>-10136</v>
      </c>
      <c r="AV81" s="3">
        <v>-13408</v>
      </c>
    </row>
    <row r="82" spans="2:48" s="3" customFormat="1" x14ac:dyDescent="0.2">
      <c r="B82" s="3" t="s">
        <v>99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E82" s="3">
        <v>-743</v>
      </c>
      <c r="AF82" s="3">
        <f>-1596-AE82</f>
        <v>-853</v>
      </c>
      <c r="AI82" s="3">
        <v>-898</v>
      </c>
      <c r="AQ82" s="3">
        <v>-2071</v>
      </c>
      <c r="AR82" s="3">
        <v>-2051</v>
      </c>
      <c r="AS82" s="3">
        <v>-2454</v>
      </c>
      <c r="AT82" s="3">
        <v>-2802</v>
      </c>
      <c r="AU82" s="3">
        <v>-3386</v>
      </c>
      <c r="AV82" s="3">
        <v>-3499</v>
      </c>
    </row>
    <row r="83" spans="2:48" s="3" customFormat="1" x14ac:dyDescent="0.2">
      <c r="B83" s="3" t="s">
        <v>98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E83" s="3">
        <v>-3083</v>
      </c>
      <c r="AF83" s="3">
        <f>-809-AE83</f>
        <v>2274</v>
      </c>
      <c r="AI83" s="3">
        <v>-582</v>
      </c>
      <c r="AQ83" s="3">
        <v>219</v>
      </c>
      <c r="AR83" s="3">
        <f>221-727</f>
        <v>-506</v>
      </c>
      <c r="AS83" s="3">
        <f>15-1269</f>
        <v>-1254</v>
      </c>
      <c r="AT83" s="3">
        <f>3414-793</f>
        <v>2621</v>
      </c>
      <c r="AU83" s="3">
        <f>685-960</f>
        <v>-275</v>
      </c>
      <c r="AV83" s="3">
        <f>2041-1667</f>
        <v>374</v>
      </c>
    </row>
    <row r="84" spans="2:48" s="3" customFormat="1" x14ac:dyDescent="0.2">
      <c r="B84" s="3" t="s">
        <v>112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E84" s="3">
        <v>0</v>
      </c>
      <c r="AF84" s="3">
        <f>-8100-AE84</f>
        <v>-8100</v>
      </c>
      <c r="AI84" s="3">
        <v>891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f>-9033+4514</f>
        <v>-4519</v>
      </c>
    </row>
    <row r="85" spans="2:48" s="3" customFormat="1" x14ac:dyDescent="0.2">
      <c r="B85" s="3" t="s">
        <v>97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E85" s="3">
        <f>SUM(AE80:AE84)</f>
        <v>-6340</v>
      </c>
      <c r="AF85" s="3">
        <f>SUM(AF80:AF84)</f>
        <v>-7417</v>
      </c>
      <c r="AI85" s="3">
        <f>SUM(AI80:AI84)</f>
        <v>-74</v>
      </c>
      <c r="AQ85" s="3">
        <f t="shared" ref="AQ85:AV85" si="56">SUM(AQ80:AQ84)</f>
        <v>-12699</v>
      </c>
      <c r="AR85" s="3">
        <f t="shared" si="56"/>
        <v>-12532</v>
      </c>
      <c r="AS85" s="3">
        <f t="shared" si="56"/>
        <v>-10372</v>
      </c>
      <c r="AT85" s="3">
        <f t="shared" si="56"/>
        <v>-28476</v>
      </c>
      <c r="AU85" s="3">
        <f t="shared" si="56"/>
        <v>-15574</v>
      </c>
      <c r="AV85" s="3">
        <f t="shared" si="56"/>
        <v>-20527</v>
      </c>
    </row>
    <row r="87" spans="2:48" x14ac:dyDescent="0.2">
      <c r="B87" s="3" t="s">
        <v>105</v>
      </c>
      <c r="AE87" s="3">
        <v>-3072</v>
      </c>
      <c r="AF87" s="3">
        <f>-3072-AE87</f>
        <v>0</v>
      </c>
      <c r="AI87" s="3">
        <v>-3000</v>
      </c>
      <c r="AQ87" s="3">
        <v>-5500</v>
      </c>
      <c r="AR87" s="3">
        <v>-4250</v>
      </c>
      <c r="AS87" s="3">
        <v>-5000</v>
      </c>
      <c r="AT87" s="3">
        <v>-7000</v>
      </c>
      <c r="AU87" s="3">
        <v>-8000</v>
      </c>
      <c r="AV87" s="3">
        <v>-9000</v>
      </c>
    </row>
    <row r="88" spans="2:48" x14ac:dyDescent="0.2">
      <c r="B88" s="3" t="s">
        <v>106</v>
      </c>
      <c r="AE88" s="3">
        <v>-1729</v>
      </c>
      <c r="AF88" s="3">
        <f>-3664-AE88</f>
        <v>-1935</v>
      </c>
      <c r="AI88" s="3">
        <v>-1912</v>
      </c>
      <c r="AQ88" s="3">
        <v>-3932</v>
      </c>
      <c r="AR88" s="3">
        <v>-4584</v>
      </c>
      <c r="AS88" s="3">
        <v>-5280</v>
      </c>
      <c r="AT88" s="3">
        <v>-5991</v>
      </c>
      <c r="AU88" s="3">
        <v>-6761</v>
      </c>
      <c r="AV88" s="3">
        <v>-7533</v>
      </c>
    </row>
    <row r="89" spans="2:48" x14ac:dyDescent="0.2">
      <c r="B89" s="3" t="s">
        <v>107</v>
      </c>
      <c r="AE89" s="3">
        <v>486</v>
      </c>
      <c r="AF89" s="3">
        <f>744-AE89</f>
        <v>258</v>
      </c>
      <c r="AI89" s="3">
        <v>360</v>
      </c>
      <c r="AQ89" s="3">
        <v>1037</v>
      </c>
      <c r="AR89" s="3">
        <v>1440</v>
      </c>
      <c r="AS89" s="3">
        <v>1355</v>
      </c>
      <c r="AT89" s="3">
        <v>1253</v>
      </c>
      <c r="AU89" s="3">
        <v>1353</v>
      </c>
      <c r="AV89" s="3">
        <v>1846</v>
      </c>
    </row>
    <row r="90" spans="2:48" x14ac:dyDescent="0.2">
      <c r="B90" s="3" t="s">
        <v>4</v>
      </c>
      <c r="AE90" s="3">
        <f>-750+6189+5925</f>
        <v>11364</v>
      </c>
      <c r="AF90" s="3">
        <f>-1750+8615+5925-AE90</f>
        <v>1426</v>
      </c>
      <c r="AI90" s="3">
        <v>3911</v>
      </c>
      <c r="AQ90" s="3">
        <f>-1750+300+5444</f>
        <v>3994</v>
      </c>
      <c r="AR90" s="3">
        <f>-3150+4864+872</f>
        <v>2586</v>
      </c>
      <c r="AS90" s="3">
        <f>-3150-1302+6933</f>
        <v>2481</v>
      </c>
      <c r="AT90" s="3">
        <f>-3015+732+14819</f>
        <v>12536</v>
      </c>
      <c r="AU90" s="3">
        <f>-2125+11+6394</f>
        <v>4280</v>
      </c>
      <c r="AV90" s="3">
        <f>-3000-151+17811</f>
        <v>14660</v>
      </c>
    </row>
    <row r="91" spans="2:48" x14ac:dyDescent="0.2">
      <c r="B91" s="3" t="s">
        <v>108</v>
      </c>
      <c r="AE91" s="3">
        <v>1745</v>
      </c>
      <c r="AF91" s="3">
        <f>990-AE91</f>
        <v>-755</v>
      </c>
      <c r="AI91" s="3">
        <v>1245</v>
      </c>
      <c r="AQ91" s="3">
        <v>13</v>
      </c>
      <c r="AR91" s="3">
        <v>1677</v>
      </c>
      <c r="AS91" s="3">
        <v>622</v>
      </c>
      <c r="AT91" s="3">
        <v>5548</v>
      </c>
      <c r="AU91" s="3">
        <v>-521</v>
      </c>
      <c r="AV91" s="3">
        <v>-1560</v>
      </c>
    </row>
    <row r="92" spans="2:48" x14ac:dyDescent="0.2">
      <c r="B92" s="3" t="s">
        <v>98</v>
      </c>
      <c r="AE92" s="3">
        <v>-563</v>
      </c>
      <c r="AF92" s="3">
        <f>-753-AE92</f>
        <v>-190</v>
      </c>
      <c r="AI92" s="3">
        <v>-505</v>
      </c>
      <c r="AQ92" s="3">
        <f>-618-619</f>
        <v>-1237</v>
      </c>
      <c r="AR92" s="3">
        <f>-459</f>
        <v>-459</v>
      </c>
      <c r="AS92" s="3">
        <f>-1338-295</f>
        <v>-1633</v>
      </c>
      <c r="AT92" s="3">
        <f>-176-1944</f>
        <v>-2120</v>
      </c>
      <c r="AU92" s="3">
        <f>-730-1150</f>
        <v>-1880</v>
      </c>
      <c r="AV92" s="3">
        <f>-280-1645</f>
        <v>-1925</v>
      </c>
    </row>
    <row r="93" spans="2:48" x14ac:dyDescent="0.2">
      <c r="B93" s="3" t="s">
        <v>109</v>
      </c>
      <c r="AE93" s="3">
        <f>SUM(AE87:AE92)</f>
        <v>8231</v>
      </c>
      <c r="AF93" s="3">
        <f>SUM(AF87:AF92)</f>
        <v>-1196</v>
      </c>
      <c r="AG93" s="3">
        <f>SUM(AG87:AG92)</f>
        <v>0</v>
      </c>
      <c r="AH93" s="3">
        <f>SUM(AH87:AH92)</f>
        <v>0</v>
      </c>
      <c r="AI93" s="3">
        <f>SUM(AI87:AI92)</f>
        <v>99</v>
      </c>
      <c r="AQ93" s="3">
        <f t="shared" ref="AQ93:AV93" si="57">SUM(AQ87:AQ92)</f>
        <v>-5625</v>
      </c>
      <c r="AR93" s="3">
        <f t="shared" si="57"/>
        <v>-3590</v>
      </c>
      <c r="AS93" s="3">
        <f t="shared" si="57"/>
        <v>-7455</v>
      </c>
      <c r="AT93" s="3">
        <f t="shared" si="57"/>
        <v>4226</v>
      </c>
      <c r="AU93" s="3">
        <f t="shared" si="57"/>
        <v>-11529</v>
      </c>
      <c r="AV93" s="3">
        <f t="shared" si="57"/>
        <v>-3512</v>
      </c>
    </row>
    <row r="94" spans="2:48" x14ac:dyDescent="0.2">
      <c r="B94" s="3" t="s">
        <v>110</v>
      </c>
      <c r="AE94" s="3">
        <v>-48</v>
      </c>
      <c r="AF94" s="3">
        <f>-44-AE94</f>
        <v>4</v>
      </c>
      <c r="AI94" s="3">
        <v>15</v>
      </c>
      <c r="AQ94">
        <v>-20</v>
      </c>
      <c r="AR94">
        <v>-116</v>
      </c>
      <c r="AS94">
        <v>-62</v>
      </c>
      <c r="AT94">
        <v>34</v>
      </c>
      <c r="AU94">
        <v>97</v>
      </c>
      <c r="AV94">
        <v>-61</v>
      </c>
    </row>
    <row r="95" spans="2:48" x14ac:dyDescent="0.2">
      <c r="B95" s="3" t="s">
        <v>111</v>
      </c>
      <c r="AE95" s="3">
        <f>+AE94+AE93+AE85+AE78</f>
        <v>2987</v>
      </c>
      <c r="AF95" s="3">
        <f>+AF94+AF93+AF85+AF78</f>
        <v>-1863</v>
      </c>
      <c r="AG95" s="3">
        <f>+AG94+AG93+AG85+AG78</f>
        <v>0</v>
      </c>
      <c r="AH95" s="3">
        <f>+AH94+AH93+AH85+AH78</f>
        <v>0</v>
      </c>
      <c r="AI95" s="3">
        <f>+AI94+AI93+AI85+AI78</f>
        <v>5496</v>
      </c>
      <c r="AQ95" s="3">
        <f t="shared" ref="AQ95:AV95" si="58">+AQ93+AQ94+AQ85+AQ78</f>
        <v>119</v>
      </c>
      <c r="AR95" s="3">
        <f t="shared" si="58"/>
        <v>5936</v>
      </c>
      <c r="AS95" s="3">
        <f t="shared" si="58"/>
        <v>4454</v>
      </c>
      <c r="AT95" s="3">
        <f t="shared" si="58"/>
        <v>1990</v>
      </c>
      <c r="AU95" s="3">
        <f t="shared" si="58"/>
        <v>2062</v>
      </c>
      <c r="AV95" s="3">
        <f t="shared" si="58"/>
        <v>104</v>
      </c>
    </row>
    <row r="97" spans="2:48" x14ac:dyDescent="0.2">
      <c r="B97" s="3" t="s">
        <v>114</v>
      </c>
      <c r="AE97" s="3">
        <f>+AE78+AE82</f>
        <v>401</v>
      </c>
      <c r="AF97" s="3">
        <f>+AF78+AF82</f>
        <v>5893</v>
      </c>
      <c r="AI97" s="3">
        <f>+AI78+AI82</f>
        <v>4558</v>
      </c>
      <c r="AQ97" s="3">
        <f t="shared" ref="AQ97:AU97" si="59">+AQ78+AQ82</f>
        <v>16392</v>
      </c>
      <c r="AR97" s="3">
        <f t="shared" si="59"/>
        <v>20123</v>
      </c>
      <c r="AS97" s="3">
        <f t="shared" si="59"/>
        <v>19889</v>
      </c>
      <c r="AT97" s="3">
        <f t="shared" si="59"/>
        <v>23404</v>
      </c>
      <c r="AU97" s="3">
        <f t="shared" si="59"/>
        <v>25682</v>
      </c>
      <c r="AV97" s="3">
        <f>+AV78+AV82</f>
        <v>20705</v>
      </c>
    </row>
  </sheetData>
  <hyperlinks>
    <hyperlink ref="A1" location="Main!A1" display="Main" xr:uid="{6C5060DB-B9BC-4C2E-9E18-24A38681A54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2022-08-18T19:07:42Z</dcterms:created>
  <dcterms:modified xsi:type="dcterms:W3CDTF">2025-10-16T17:18:51Z</dcterms:modified>
</cp:coreProperties>
</file>