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2CDA789-1B1E-4D53-B6E6-F014BE6FCBCA}" xr6:coauthVersionLast="47" xr6:coauthVersionMax="47" xr10:uidLastSave="{00000000-0000-0000-0000-000000000000}"/>
  <bookViews>
    <workbookView xWindow="1080" yWindow="1080" windowWidth="18075" windowHeight="16020" activeTab="1" xr2:uid="{1BAE71EE-DD23-448F-9D7E-B6933F58311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M8" i="2" s="1"/>
  <c r="L7" i="2"/>
  <c r="M7" i="2" s="1"/>
  <c r="L6" i="2"/>
  <c r="M6" i="2" s="1"/>
  <c r="L5" i="2"/>
  <c r="M5" i="2" s="1"/>
  <c r="L4" i="2"/>
  <c r="M4" i="2" s="1"/>
  <c r="M9" i="2" s="1"/>
  <c r="L3" i="2"/>
  <c r="I11" i="2"/>
  <c r="H20" i="2"/>
  <c r="G20" i="2"/>
  <c r="H8" i="2"/>
  <c r="I8" i="2" s="1"/>
  <c r="J8" i="2" s="1"/>
  <c r="K8" i="2" s="1"/>
  <c r="H7" i="2"/>
  <c r="I7" i="2" s="1"/>
  <c r="J7" i="2" s="1"/>
  <c r="K7" i="2" s="1"/>
  <c r="H6" i="2"/>
  <c r="I6" i="2" s="1"/>
  <c r="J6" i="2" s="1"/>
  <c r="K6" i="2" s="1"/>
  <c r="H5" i="2"/>
  <c r="I5" i="2" s="1"/>
  <c r="H4" i="2"/>
  <c r="I4" i="2" s="1"/>
  <c r="J4" i="2" s="1"/>
  <c r="H3" i="2"/>
  <c r="I3" i="2" s="1"/>
  <c r="J3" i="2" s="1"/>
  <c r="K3" i="2" s="1"/>
  <c r="H11" i="2"/>
  <c r="H9" i="2"/>
  <c r="H10" i="2" s="1"/>
  <c r="H12" i="2" s="1"/>
  <c r="H14" i="2" s="1"/>
  <c r="H15" i="2" s="1"/>
  <c r="D11" i="2"/>
  <c r="C11" i="2"/>
  <c r="G18" i="2"/>
  <c r="F18" i="2"/>
  <c r="E18" i="2"/>
  <c r="D18" i="2"/>
  <c r="D9" i="2"/>
  <c r="D10" i="2" s="1"/>
  <c r="D12" i="2" s="1"/>
  <c r="D14" i="2" s="1"/>
  <c r="D15" i="2" s="1"/>
  <c r="C9" i="2"/>
  <c r="C10" i="2" s="1"/>
  <c r="C12" i="2" s="1"/>
  <c r="C14" i="2" s="1"/>
  <c r="C15" i="2" s="1"/>
  <c r="D2" i="2"/>
  <c r="G40" i="2"/>
  <c r="F40" i="2"/>
  <c r="E40" i="2"/>
  <c r="J7" i="1"/>
  <c r="G31" i="2"/>
  <c r="G36" i="2" s="1"/>
  <c r="G21" i="2"/>
  <c r="G28" i="2" s="1"/>
  <c r="E11" i="2"/>
  <c r="F11" i="2"/>
  <c r="E9" i="2"/>
  <c r="E10" i="2" s="1"/>
  <c r="F9" i="2"/>
  <c r="F10" i="2" s="1"/>
  <c r="G11" i="2"/>
  <c r="G9" i="2"/>
  <c r="G10" i="2" s="1"/>
  <c r="G12" i="2" s="1"/>
  <c r="G14" i="2" s="1"/>
  <c r="G15" i="2" s="1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J4" i="1"/>
  <c r="L9" i="2" l="1"/>
  <c r="L10" i="2" s="1"/>
  <c r="M3" i="2"/>
  <c r="M10" i="2" s="1"/>
  <c r="F12" i="2"/>
  <c r="F14" i="2" s="1"/>
  <c r="F15" i="2" s="1"/>
  <c r="K4" i="2"/>
  <c r="J5" i="2"/>
  <c r="K5" i="2" s="1"/>
  <c r="I9" i="2"/>
  <c r="I10" i="2" s="1"/>
  <c r="I12" i="2" s="1"/>
  <c r="I14" i="2" s="1"/>
  <c r="E12" i="2"/>
  <c r="E14" i="2" s="1"/>
  <c r="E15" i="2" s="1"/>
  <c r="I15" i="2" l="1"/>
  <c r="I20" i="2"/>
  <c r="J11" i="2" s="1"/>
  <c r="J9" i="2"/>
  <c r="J10" i="2" s="1"/>
  <c r="K9" i="2"/>
  <c r="K10" i="2" s="1"/>
  <c r="J12" i="2" l="1"/>
  <c r="J14" i="2" s="1"/>
  <c r="J20" i="2"/>
  <c r="K11" i="2" l="1"/>
  <c r="K12" i="2" s="1"/>
  <c r="K14" i="2" s="1"/>
  <c r="K15" i="2" s="1"/>
  <c r="J15" i="2"/>
  <c r="K20" i="2" l="1"/>
  <c r="L11" i="2" s="1"/>
  <c r="L12" i="2" s="1"/>
  <c r="L14" i="2" s="1"/>
  <c r="L20" i="2" s="1"/>
  <c r="L15" i="2" l="1"/>
  <c r="M11" i="2"/>
  <c r="M12" i="2" s="1"/>
  <c r="M14" i="2" s="1"/>
  <c r="M15" i="2" l="1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M20" i="2"/>
  <c r="P25" i="2" l="1"/>
  <c r="P26" i="2" s="1"/>
</calcChain>
</file>

<file path=xl/sharedStrings.xml><?xml version="1.0" encoding="utf-8"?>
<sst xmlns="http://schemas.openxmlformats.org/spreadsheetml/2006/main" count="56" uniqueCount="49">
  <si>
    <t>Price</t>
  </si>
  <si>
    <t>Shares</t>
  </si>
  <si>
    <t>MC</t>
  </si>
  <si>
    <t>Cash</t>
  </si>
  <si>
    <t>Debt</t>
  </si>
  <si>
    <t>EV</t>
  </si>
  <si>
    <t>23 states in the Western 2/3rds of US.</t>
  </si>
  <si>
    <t>Bulk, Industrial, Premium</t>
  </si>
  <si>
    <t>32,880 route miles</t>
  </si>
  <si>
    <t>Bulk - grain, fertilizer, food, coal, renewables</t>
  </si>
  <si>
    <t>Industrial - construction, chemicals, plastics, forest, waste, salt, roofing, metals, petroleum</t>
  </si>
  <si>
    <t>Premium - autos, auto parts</t>
  </si>
  <si>
    <t>Main</t>
  </si>
  <si>
    <t>Revenue</t>
  </si>
  <si>
    <t>Operating Margin</t>
  </si>
  <si>
    <t>Operating Expenses</t>
  </si>
  <si>
    <t>Other</t>
  </si>
  <si>
    <t>Compensation</t>
  </si>
  <si>
    <t>Services/Materials</t>
  </si>
  <si>
    <t>Fuel</t>
  </si>
  <si>
    <t>Equipment</t>
  </si>
  <si>
    <t>Net Income</t>
  </si>
  <si>
    <t>Taxes</t>
  </si>
  <si>
    <t>Pretax Income</t>
  </si>
  <si>
    <t>Interest Income</t>
  </si>
  <si>
    <t>EPS</t>
  </si>
  <si>
    <t>Assets</t>
  </si>
  <si>
    <t>PP&amp;E</t>
  </si>
  <si>
    <t>AR</t>
  </si>
  <si>
    <t>Inventories</t>
  </si>
  <si>
    <t>OCA</t>
  </si>
  <si>
    <t>Lease</t>
  </si>
  <si>
    <t>AP</t>
  </si>
  <si>
    <t>L+SE</t>
  </si>
  <si>
    <t>SE</t>
  </si>
  <si>
    <t>OLTL</t>
  </si>
  <si>
    <t>DT</t>
  </si>
  <si>
    <t>Q424</t>
  </si>
  <si>
    <t>CFFO</t>
  </si>
  <si>
    <t>CX</t>
  </si>
  <si>
    <t>FCF</t>
  </si>
  <si>
    <t>Revenue y/y</t>
  </si>
  <si>
    <t>Maturity</t>
  </si>
  <si>
    <t>Discount</t>
  </si>
  <si>
    <t>ROIC</t>
  </si>
  <si>
    <t>NPV</t>
  </si>
  <si>
    <t>Net Cash</t>
  </si>
  <si>
    <t>Share</t>
  </si>
  <si>
    <t>Founded: 1969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</si>
</sst>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24848</xdr:colOff>
      <xdr:row>0</xdr:row>
      <xdr:rowOff>41413</xdr:rowOff>
    </xdr:from>
    <xdr:to>
      <xdr:col>7</xdr:col>
      <xdr:colOff>24848</xdr:colOff>
      <xdr:row>49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FAFF57F-B686-76DD-E96B-5638F7AD9EBF}"/>
            </a:ext>
          </a:extLst>
        </xdr:cNvPr>
        <xdr:cNvCxnSpPr/>
      </xdr:nvCxnSpPr>
      <xdr:spPr>
        <a:xfrm>
          <a:off x="5317435" y="41413"/>
          <a:ext cx="0" cy="80755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2F08E-9544-46CE-89BD-002F92637210}">
  <dimension ref="B2:K9"/>
  <sheetViews>
    <sheetView zoomScaleNormal="100" workbookViewId="0">
      <selection activeCell="L17" sqref="L17"/>
    </sheetView>
  </sheetViews>
  <sheetFormatPr defaultRowHeight="12.75" x14ac:dyDescent="0.2"/>
  <sheetData>
    <row r="2" spans="2:11" x14ac:dyDescent="0.2">
      <c r="B2" t="s">
        <v>6</v>
      </c>
      <c r="I2" t="s">
        <v>0</v>
      </c>
      <c r="J2" s="1">
        <v>215.52</v>
      </c>
    </row>
    <row r="3" spans="2:11" x14ac:dyDescent="0.2">
      <c r="B3" t="s">
        <v>7</v>
      </c>
      <c r="I3" t="s">
        <v>1</v>
      </c>
      <c r="J3" s="2">
        <v>604.28599999999994</v>
      </c>
      <c r="K3" s="4" t="s">
        <v>37</v>
      </c>
    </row>
    <row r="4" spans="2:11" x14ac:dyDescent="0.2">
      <c r="B4" t="s">
        <v>8</v>
      </c>
      <c r="I4" t="s">
        <v>2</v>
      </c>
      <c r="J4" s="2">
        <f>+J2*J3</f>
        <v>130235.71871999999</v>
      </c>
      <c r="K4" s="4"/>
    </row>
    <row r="5" spans="2:11" x14ac:dyDescent="0.2">
      <c r="I5" t="s">
        <v>3</v>
      </c>
      <c r="J5" s="2">
        <v>3700</v>
      </c>
      <c r="K5" s="4" t="s">
        <v>37</v>
      </c>
    </row>
    <row r="6" spans="2:11" x14ac:dyDescent="0.2">
      <c r="B6" t="s">
        <v>9</v>
      </c>
      <c r="I6" t="s">
        <v>4</v>
      </c>
      <c r="J6" s="2">
        <v>31192</v>
      </c>
      <c r="K6" s="4" t="s">
        <v>37</v>
      </c>
    </row>
    <row r="7" spans="2:11" x14ac:dyDescent="0.2">
      <c r="B7" t="s">
        <v>10</v>
      </c>
      <c r="I7" t="s">
        <v>5</v>
      </c>
      <c r="J7" s="2">
        <f>+J4-J5+J6</f>
        <v>157727.71872</v>
      </c>
    </row>
    <row r="8" spans="2:11" x14ac:dyDescent="0.2">
      <c r="B8" t="s">
        <v>11</v>
      </c>
    </row>
    <row r="9" spans="2:11" x14ac:dyDescent="0.2">
      <c r="I9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31EF-BB70-4B52-93A2-5B9CB0B05D8F}">
  <dimension ref="A1:CK40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24" sqref="P24"/>
    </sheetView>
  </sheetViews>
  <sheetFormatPr defaultRowHeight="12.75" x14ac:dyDescent="0.2"/>
  <cols>
    <col min="1" max="1" width="5" bestFit="1" customWidth="1"/>
    <col min="2" max="2" width="19.28515625" customWidth="1"/>
  </cols>
  <sheetData>
    <row r="1" spans="1:89" x14ac:dyDescent="0.2">
      <c r="A1" s="6" t="s">
        <v>12</v>
      </c>
    </row>
    <row r="2" spans="1:89" x14ac:dyDescent="0.2">
      <c r="C2">
        <v>2020</v>
      </c>
      <c r="D2">
        <f>+C2+1</f>
        <v>2021</v>
      </c>
      <c r="E2">
        <v>2022</v>
      </c>
      <c r="F2">
        <f>+E2+1</f>
        <v>2023</v>
      </c>
      <c r="G2">
        <f>+F2+1</f>
        <v>2024</v>
      </c>
      <c r="H2">
        <f>+G2+1</f>
        <v>2025</v>
      </c>
      <c r="I2">
        <f t="shared" ref="I2:AJ2" si="0">+H2+1</f>
        <v>2026</v>
      </c>
      <c r="J2">
        <f t="shared" si="0"/>
        <v>2027</v>
      </c>
      <c r="K2">
        <f t="shared" si="0"/>
        <v>2028</v>
      </c>
      <c r="L2">
        <f t="shared" si="0"/>
        <v>2029</v>
      </c>
      <c r="M2">
        <f t="shared" si="0"/>
        <v>2030</v>
      </c>
      <c r="N2">
        <f t="shared" si="0"/>
        <v>2031</v>
      </c>
      <c r="O2">
        <f t="shared" si="0"/>
        <v>2032</v>
      </c>
      <c r="P2">
        <f t="shared" si="0"/>
        <v>2033</v>
      </c>
      <c r="Q2">
        <f t="shared" si="0"/>
        <v>2034</v>
      </c>
      <c r="R2">
        <f t="shared" si="0"/>
        <v>2035</v>
      </c>
      <c r="S2">
        <f t="shared" si="0"/>
        <v>2036</v>
      </c>
      <c r="T2">
        <f t="shared" si="0"/>
        <v>2037</v>
      </c>
      <c r="U2">
        <f t="shared" si="0"/>
        <v>2038</v>
      </c>
      <c r="V2">
        <f t="shared" si="0"/>
        <v>2039</v>
      </c>
      <c r="W2">
        <f t="shared" si="0"/>
        <v>2040</v>
      </c>
      <c r="X2">
        <f t="shared" si="0"/>
        <v>2041</v>
      </c>
      <c r="Y2">
        <f t="shared" si="0"/>
        <v>2042</v>
      </c>
      <c r="Z2">
        <f t="shared" si="0"/>
        <v>2043</v>
      </c>
      <c r="AA2">
        <f t="shared" si="0"/>
        <v>2044</v>
      </c>
      <c r="AB2">
        <f t="shared" si="0"/>
        <v>2045</v>
      </c>
      <c r="AC2">
        <f t="shared" si="0"/>
        <v>2046</v>
      </c>
      <c r="AD2">
        <f t="shared" si="0"/>
        <v>2047</v>
      </c>
      <c r="AE2">
        <f t="shared" si="0"/>
        <v>2048</v>
      </c>
      <c r="AF2">
        <f t="shared" si="0"/>
        <v>2049</v>
      </c>
      <c r="AG2">
        <f t="shared" si="0"/>
        <v>2050</v>
      </c>
      <c r="AH2">
        <f t="shared" si="0"/>
        <v>2051</v>
      </c>
      <c r="AI2">
        <f t="shared" si="0"/>
        <v>2052</v>
      </c>
      <c r="AJ2">
        <f t="shared" si="0"/>
        <v>2053</v>
      </c>
    </row>
    <row r="3" spans="1:89" s="3" customFormat="1" x14ac:dyDescent="0.2">
      <c r="B3" s="3" t="s">
        <v>13</v>
      </c>
      <c r="C3" s="3">
        <v>19533</v>
      </c>
      <c r="D3" s="3">
        <v>21804</v>
      </c>
      <c r="E3" s="3">
        <v>24875</v>
      </c>
      <c r="F3" s="3">
        <v>24119</v>
      </c>
      <c r="G3" s="3">
        <v>24250</v>
      </c>
      <c r="H3" s="3">
        <f>+G3*1.03</f>
        <v>24977.5</v>
      </c>
      <c r="I3" s="3">
        <f>+H3*1.03</f>
        <v>25726.825000000001</v>
      </c>
      <c r="J3" s="3">
        <f>+I3*1.03</f>
        <v>26498.62975</v>
      </c>
      <c r="K3" s="3">
        <f>+J3*1.03</f>
        <v>27293.588642499999</v>
      </c>
      <c r="L3" s="3">
        <f t="shared" ref="L3:M3" si="1">+K3*1.03</f>
        <v>28112.396301774999</v>
      </c>
      <c r="M3" s="3">
        <f t="shared" si="1"/>
        <v>28955.76819082825</v>
      </c>
    </row>
    <row r="4" spans="1:89" s="2" customFormat="1" x14ac:dyDescent="0.2">
      <c r="B4" s="2" t="s">
        <v>17</v>
      </c>
      <c r="C4" s="2">
        <v>3993</v>
      </c>
      <c r="D4" s="2">
        <v>4158</v>
      </c>
      <c r="E4" s="2">
        <v>4645</v>
      </c>
      <c r="F4" s="2">
        <v>4818</v>
      </c>
      <c r="G4" s="2">
        <v>4899</v>
      </c>
      <c r="H4" s="2">
        <f>+G4*1.02</f>
        <v>4996.9800000000005</v>
      </c>
      <c r="I4" s="2">
        <f t="shared" ref="I4:K4" si="2">+H4*1.02</f>
        <v>5096.9196000000002</v>
      </c>
      <c r="J4" s="2">
        <f t="shared" si="2"/>
        <v>5198.8579920000002</v>
      </c>
      <c r="K4" s="2">
        <f t="shared" si="2"/>
        <v>5302.8351518400004</v>
      </c>
      <c r="L4" s="2">
        <f t="shared" ref="L4:M4" si="3">+K4*1.02</f>
        <v>5408.8918548768006</v>
      </c>
      <c r="M4" s="2">
        <f t="shared" si="3"/>
        <v>5517.0696919743368</v>
      </c>
    </row>
    <row r="5" spans="1:89" s="2" customFormat="1" x14ac:dyDescent="0.2">
      <c r="B5" s="2" t="s">
        <v>18</v>
      </c>
      <c r="C5" s="2">
        <v>1962</v>
      </c>
      <c r="D5" s="2">
        <v>2016</v>
      </c>
      <c r="E5" s="2">
        <v>2442</v>
      </c>
      <c r="F5" s="2">
        <v>2616</v>
      </c>
      <c r="G5" s="2">
        <v>2520</v>
      </c>
      <c r="H5" s="2">
        <f t="shared" ref="H5:K5" si="4">+G5*1.02</f>
        <v>2570.4</v>
      </c>
      <c r="I5" s="2">
        <f t="shared" si="4"/>
        <v>2621.808</v>
      </c>
      <c r="J5" s="2">
        <f t="shared" si="4"/>
        <v>2674.2441600000002</v>
      </c>
      <c r="K5" s="2">
        <f t="shared" si="4"/>
        <v>2727.7290432000004</v>
      </c>
      <c r="L5" s="2">
        <f t="shared" ref="L5:M5" si="5">+K5*1.02</f>
        <v>2782.2836240640004</v>
      </c>
      <c r="M5" s="2">
        <f t="shared" si="5"/>
        <v>2837.9292965452805</v>
      </c>
    </row>
    <row r="6" spans="1:89" s="2" customFormat="1" x14ac:dyDescent="0.2">
      <c r="B6" s="2" t="s">
        <v>19</v>
      </c>
      <c r="C6" s="2">
        <v>1314</v>
      </c>
      <c r="D6" s="2">
        <v>2049</v>
      </c>
      <c r="E6" s="2">
        <v>3439</v>
      </c>
      <c r="F6" s="2">
        <v>2891</v>
      </c>
      <c r="G6" s="2">
        <v>2474</v>
      </c>
      <c r="H6" s="2">
        <f t="shared" ref="H6:K6" si="6">+G6*1.02</f>
        <v>2523.48</v>
      </c>
      <c r="I6" s="2">
        <f t="shared" si="6"/>
        <v>2573.9495999999999</v>
      </c>
      <c r="J6" s="2">
        <f t="shared" si="6"/>
        <v>2625.4285919999998</v>
      </c>
      <c r="K6" s="2">
        <f t="shared" si="6"/>
        <v>2677.9371638399998</v>
      </c>
      <c r="L6" s="2">
        <f t="shared" ref="L6:M6" si="7">+K6*1.02</f>
        <v>2731.4959071168</v>
      </c>
      <c r="M6" s="2">
        <f t="shared" si="7"/>
        <v>2786.125825259136</v>
      </c>
    </row>
    <row r="7" spans="1:89" s="2" customFormat="1" x14ac:dyDescent="0.2">
      <c r="B7" s="2" t="s">
        <v>20</v>
      </c>
      <c r="C7" s="2">
        <v>875</v>
      </c>
      <c r="D7" s="2">
        <v>859</v>
      </c>
      <c r="E7" s="2">
        <v>898</v>
      </c>
      <c r="F7" s="2">
        <v>947</v>
      </c>
      <c r="G7" s="2">
        <v>920</v>
      </c>
      <c r="H7" s="2">
        <f t="shared" ref="H7:K7" si="8">+G7*1.02</f>
        <v>938.4</v>
      </c>
      <c r="I7" s="2">
        <f t="shared" si="8"/>
        <v>957.16800000000001</v>
      </c>
      <c r="J7" s="2">
        <f t="shared" si="8"/>
        <v>976.31136000000004</v>
      </c>
      <c r="K7" s="2">
        <f t="shared" si="8"/>
        <v>995.83758720000003</v>
      </c>
      <c r="L7" s="2">
        <f t="shared" ref="L7:M7" si="9">+K7*1.02</f>
        <v>1015.7543389440001</v>
      </c>
      <c r="M7" s="2">
        <f t="shared" si="9"/>
        <v>1036.0694257228802</v>
      </c>
    </row>
    <row r="8" spans="1:89" s="2" customFormat="1" x14ac:dyDescent="0.2">
      <c r="B8" s="2" t="s">
        <v>16</v>
      </c>
      <c r="C8" s="2">
        <v>1345</v>
      </c>
      <c r="D8" s="2">
        <v>1176</v>
      </c>
      <c r="E8" s="2">
        <v>1288</v>
      </c>
      <c r="F8" s="2">
        <v>1447</v>
      </c>
      <c r="G8" s="2">
        <v>1326</v>
      </c>
      <c r="H8" s="2">
        <f t="shared" ref="H8:K8" si="10">+G8*1.02</f>
        <v>1352.52</v>
      </c>
      <c r="I8" s="2">
        <f t="shared" si="10"/>
        <v>1379.5704000000001</v>
      </c>
      <c r="J8" s="2">
        <f t="shared" si="10"/>
        <v>1407.1618080000001</v>
      </c>
      <c r="K8" s="2">
        <f t="shared" si="10"/>
        <v>1435.3050441600001</v>
      </c>
      <c r="L8" s="2">
        <f t="shared" ref="L8:M8" si="11">+K8*1.02</f>
        <v>1464.0111450432</v>
      </c>
      <c r="M8" s="2">
        <f t="shared" si="11"/>
        <v>1493.2913679440639</v>
      </c>
    </row>
    <row r="9" spans="1:89" s="2" customFormat="1" x14ac:dyDescent="0.2">
      <c r="B9" s="2" t="s">
        <v>15</v>
      </c>
      <c r="C9" s="2">
        <f>SUM(C4:C8)</f>
        <v>9489</v>
      </c>
      <c r="D9" s="2">
        <f>SUM(D4:D8)</f>
        <v>10258</v>
      </c>
      <c r="E9" s="2">
        <f>SUM(E4:E8)</f>
        <v>12712</v>
      </c>
      <c r="F9" s="2">
        <f>SUM(F4:F8)</f>
        <v>12719</v>
      </c>
      <c r="G9" s="2">
        <f>SUM(G4:G8)</f>
        <v>12139</v>
      </c>
      <c r="H9" s="2">
        <f t="shared" ref="H9:K9" si="12">SUM(H4:H8)</f>
        <v>12381.78</v>
      </c>
      <c r="I9" s="2">
        <f t="shared" si="12"/>
        <v>12629.4156</v>
      </c>
      <c r="J9" s="2">
        <f t="shared" si="12"/>
        <v>12882.003912</v>
      </c>
      <c r="K9" s="2">
        <f t="shared" si="12"/>
        <v>13139.64399024</v>
      </c>
      <c r="L9" s="2">
        <f t="shared" ref="L9" si="13">SUM(L4:L8)</f>
        <v>13402.436870044799</v>
      </c>
      <c r="M9" s="2">
        <f t="shared" ref="M9" si="14">SUM(M4:M8)</f>
        <v>13670.485607445698</v>
      </c>
    </row>
    <row r="10" spans="1:89" s="2" customFormat="1" x14ac:dyDescent="0.2">
      <c r="B10" s="2" t="s">
        <v>14</v>
      </c>
      <c r="C10" s="2">
        <f>C3-C9</f>
        <v>10044</v>
      </c>
      <c r="D10" s="2">
        <f>D3-D9</f>
        <v>11546</v>
      </c>
      <c r="E10" s="2">
        <f>E3-E9</f>
        <v>12163</v>
      </c>
      <c r="F10" s="2">
        <f>F3-F9</f>
        <v>11400</v>
      </c>
      <c r="G10" s="2">
        <f>G3-G9</f>
        <v>12111</v>
      </c>
      <c r="H10" s="2">
        <f t="shared" ref="H10:K10" si="15">H3-H9</f>
        <v>12595.72</v>
      </c>
      <c r="I10" s="2">
        <f t="shared" si="15"/>
        <v>13097.4094</v>
      </c>
      <c r="J10" s="2">
        <f t="shared" si="15"/>
        <v>13616.625838</v>
      </c>
      <c r="K10" s="2">
        <f t="shared" si="15"/>
        <v>14153.944652259999</v>
      </c>
      <c r="L10" s="2">
        <f t="shared" ref="L10" si="16">L3-L9</f>
        <v>14709.9594317302</v>
      </c>
      <c r="M10" s="2">
        <f t="shared" ref="M10" si="17">M3-M9</f>
        <v>15285.282583382552</v>
      </c>
    </row>
    <row r="11" spans="1:89" s="2" customFormat="1" x14ac:dyDescent="0.2">
      <c r="B11" s="2" t="s">
        <v>24</v>
      </c>
      <c r="C11" s="2">
        <f>-1141+287</f>
        <v>-854</v>
      </c>
      <c r="D11" s="2">
        <f>-1157+297</f>
        <v>-860</v>
      </c>
      <c r="E11" s="2">
        <f>426-1271</f>
        <v>-845</v>
      </c>
      <c r="F11" s="2">
        <f>491-1340</f>
        <v>-849</v>
      </c>
      <c r="G11" s="2">
        <f>350-1269</f>
        <v>-919</v>
      </c>
      <c r="H11" s="2">
        <f t="shared" ref="H11" si="18">350-1269</f>
        <v>-919</v>
      </c>
      <c r="I11" s="2">
        <f>+H20*$P$24</f>
        <v>-357.24559999999997</v>
      </c>
      <c r="J11" s="2">
        <f>+I20*$P$24</f>
        <v>-143.38232399999998</v>
      </c>
      <c r="K11" s="2">
        <f>+J20*$P$24</f>
        <v>85.142546280000019</v>
      </c>
      <c r="L11" s="2">
        <f t="shared" ref="L11:M11" si="19">+K20*$P$24</f>
        <v>328.98429025079997</v>
      </c>
      <c r="M11" s="2">
        <f t="shared" si="19"/>
        <v>588.82316469041996</v>
      </c>
    </row>
    <row r="12" spans="1:89" s="2" customFormat="1" x14ac:dyDescent="0.2">
      <c r="B12" s="2" t="s">
        <v>23</v>
      </c>
      <c r="C12" s="2">
        <f>+C10+C11</f>
        <v>9190</v>
      </c>
      <c r="D12" s="2">
        <f>+D10+D11</f>
        <v>10686</v>
      </c>
      <c r="E12" s="2">
        <f>+E10+E11</f>
        <v>11318</v>
      </c>
      <c r="F12" s="2">
        <f>+F10+F11</f>
        <v>10551</v>
      </c>
      <c r="G12" s="2">
        <f>+G10+G11</f>
        <v>11192</v>
      </c>
      <c r="H12" s="2">
        <f t="shared" ref="H12:K12" si="20">+H10+H11</f>
        <v>11676.72</v>
      </c>
      <c r="I12" s="2">
        <f t="shared" si="20"/>
        <v>12740.1638</v>
      </c>
      <c r="J12" s="2">
        <f t="shared" si="20"/>
        <v>13473.243514</v>
      </c>
      <c r="K12" s="2">
        <f t="shared" si="20"/>
        <v>14239.087198539999</v>
      </c>
      <c r="L12" s="2">
        <f t="shared" ref="L12" si="21">+L10+L11</f>
        <v>15038.943721981001</v>
      </c>
      <c r="M12" s="2">
        <f t="shared" ref="M12" si="22">+M10+M11</f>
        <v>15874.105748072972</v>
      </c>
    </row>
    <row r="13" spans="1:89" s="2" customFormat="1" x14ac:dyDescent="0.2">
      <c r="B13" s="2" t="s">
        <v>22</v>
      </c>
      <c r="C13" s="2">
        <v>1631</v>
      </c>
      <c r="D13" s="2">
        <v>1955</v>
      </c>
      <c r="E13" s="2">
        <v>2074</v>
      </c>
      <c r="F13" s="2">
        <v>1854</v>
      </c>
      <c r="G13" s="2">
        <v>2047</v>
      </c>
      <c r="H13" s="2">
        <v>2047</v>
      </c>
      <c r="I13" s="2">
        <v>2047</v>
      </c>
      <c r="J13" s="2">
        <v>2047</v>
      </c>
      <c r="K13" s="2">
        <v>2047</v>
      </c>
      <c r="L13" s="2">
        <v>2047</v>
      </c>
      <c r="M13" s="2">
        <v>2047</v>
      </c>
    </row>
    <row r="14" spans="1:89" s="2" customFormat="1" x14ac:dyDescent="0.2">
      <c r="B14" s="2" t="s">
        <v>21</v>
      </c>
      <c r="C14" s="2">
        <f>+C12-C13</f>
        <v>7559</v>
      </c>
      <c r="D14" s="2">
        <f>+D12-D13</f>
        <v>8731</v>
      </c>
      <c r="E14" s="2">
        <f>+E12-E13</f>
        <v>9244</v>
      </c>
      <c r="F14" s="2">
        <f>+F12-F13</f>
        <v>8697</v>
      </c>
      <c r="G14" s="2">
        <f>+G12-G13</f>
        <v>9145</v>
      </c>
      <c r="H14" s="2">
        <f t="shared" ref="H14:K14" si="23">+H12-H13</f>
        <v>9629.7199999999993</v>
      </c>
      <c r="I14" s="2">
        <f t="shared" si="23"/>
        <v>10693.1638</v>
      </c>
      <c r="J14" s="2">
        <f t="shared" si="23"/>
        <v>11426.243514</v>
      </c>
      <c r="K14" s="2">
        <f t="shared" si="23"/>
        <v>12192.087198539999</v>
      </c>
      <c r="L14" s="2">
        <f t="shared" ref="L14" si="24">+L12-L13</f>
        <v>12991.943721981001</v>
      </c>
      <c r="M14" s="2">
        <f t="shared" ref="M14" si="25">+M12-M13</f>
        <v>13827.105748072972</v>
      </c>
      <c r="N14" s="2">
        <f>+M14*(1+$P$22)</f>
        <v>13965.376805553702</v>
      </c>
      <c r="O14" s="2">
        <f t="shared" ref="O14:BZ14" si="26">+N14*(1+$P$22)</f>
        <v>14105.03057360924</v>
      </c>
      <c r="P14" s="2">
        <f t="shared" si="26"/>
        <v>14246.080879345333</v>
      </c>
      <c r="Q14" s="2">
        <f t="shared" si="26"/>
        <v>14388.541688138786</v>
      </c>
      <c r="R14" s="2">
        <f t="shared" si="26"/>
        <v>14532.427105020175</v>
      </c>
      <c r="S14" s="2">
        <f t="shared" si="26"/>
        <v>14677.751376070377</v>
      </c>
      <c r="T14" s="2">
        <f t="shared" si="26"/>
        <v>14824.528889831081</v>
      </c>
      <c r="U14" s="2">
        <f t="shared" si="26"/>
        <v>14972.774178729393</v>
      </c>
      <c r="V14" s="2">
        <f t="shared" si="26"/>
        <v>15122.501920516686</v>
      </c>
      <c r="W14" s="2">
        <f t="shared" si="26"/>
        <v>15273.726939721853</v>
      </c>
      <c r="X14" s="2">
        <f t="shared" si="26"/>
        <v>15426.464209119073</v>
      </c>
      <c r="Y14" s="2">
        <f t="shared" si="26"/>
        <v>15580.728851210264</v>
      </c>
      <c r="Z14" s="2">
        <f t="shared" si="26"/>
        <v>15736.536139722366</v>
      </c>
      <c r="AA14" s="2">
        <f t="shared" si="26"/>
        <v>15893.90150111959</v>
      </c>
      <c r="AB14" s="2">
        <f t="shared" si="26"/>
        <v>16052.840516130786</v>
      </c>
      <c r="AC14" s="2">
        <f t="shared" si="26"/>
        <v>16213.368921292093</v>
      </c>
      <c r="AD14" s="2">
        <f t="shared" si="26"/>
        <v>16375.502610505013</v>
      </c>
      <c r="AE14" s="2">
        <f t="shared" si="26"/>
        <v>16539.257636610062</v>
      </c>
      <c r="AF14" s="2">
        <f t="shared" si="26"/>
        <v>16704.650212976161</v>
      </c>
      <c r="AG14" s="2">
        <f t="shared" si="26"/>
        <v>16871.696715105922</v>
      </c>
      <c r="AH14" s="2">
        <f t="shared" si="26"/>
        <v>17040.413682256982</v>
      </c>
      <c r="AI14" s="2">
        <f t="shared" si="26"/>
        <v>17210.817819079552</v>
      </c>
      <c r="AJ14" s="2">
        <f t="shared" si="26"/>
        <v>17382.925997270348</v>
      </c>
      <c r="AK14" s="2">
        <f t="shared" si="26"/>
        <v>17556.75525724305</v>
      </c>
      <c r="AL14" s="2">
        <f t="shared" si="26"/>
        <v>17732.32280981548</v>
      </c>
      <c r="AM14" s="2">
        <f t="shared" si="26"/>
        <v>17909.646037913633</v>
      </c>
      <c r="AN14" s="2">
        <f t="shared" si="26"/>
        <v>18088.74249829277</v>
      </c>
      <c r="AO14" s="2">
        <f t="shared" si="26"/>
        <v>18269.629923275697</v>
      </c>
      <c r="AP14" s="2">
        <f t="shared" si="26"/>
        <v>18452.326222508455</v>
      </c>
      <c r="AQ14" s="2">
        <f t="shared" si="26"/>
        <v>18636.849484733539</v>
      </c>
      <c r="AR14" s="2">
        <f t="shared" si="26"/>
        <v>18823.217979580873</v>
      </c>
      <c r="AS14" s="2">
        <f t="shared" si="26"/>
        <v>19011.450159376684</v>
      </c>
      <c r="AT14" s="2">
        <f t="shared" si="26"/>
        <v>19201.564660970449</v>
      </c>
      <c r="AU14" s="2">
        <f t="shared" si="26"/>
        <v>19393.580307580152</v>
      </c>
      <c r="AV14" s="2">
        <f t="shared" si="26"/>
        <v>19587.516110655954</v>
      </c>
      <c r="AW14" s="2">
        <f t="shared" si="26"/>
        <v>19783.391271762513</v>
      </c>
      <c r="AX14" s="2">
        <f t="shared" si="26"/>
        <v>19981.225184480139</v>
      </c>
      <c r="AY14" s="2">
        <f t="shared" si="26"/>
        <v>20181.037436324939</v>
      </c>
      <c r="AZ14" s="2">
        <f t="shared" si="26"/>
        <v>20382.847810688188</v>
      </c>
      <c r="BA14" s="2">
        <f t="shared" si="26"/>
        <v>20586.676288795072</v>
      </c>
      <c r="BB14" s="2">
        <f t="shared" si="26"/>
        <v>20792.543051683024</v>
      </c>
      <c r="BC14" s="2">
        <f t="shared" si="26"/>
        <v>21000.468482199853</v>
      </c>
      <c r="BD14" s="2">
        <f t="shared" si="26"/>
        <v>21210.47316702185</v>
      </c>
      <c r="BE14" s="2">
        <f t="shared" si="26"/>
        <v>21422.577898692067</v>
      </c>
      <c r="BF14" s="2">
        <f t="shared" si="26"/>
        <v>21636.803677678989</v>
      </c>
      <c r="BG14" s="2">
        <f t="shared" si="26"/>
        <v>21853.171714455777</v>
      </c>
      <c r="BH14" s="2">
        <f t="shared" si="26"/>
        <v>22071.703431600334</v>
      </c>
      <c r="BI14" s="2">
        <f t="shared" si="26"/>
        <v>22292.420465916337</v>
      </c>
      <c r="BJ14" s="2">
        <f t="shared" si="26"/>
        <v>22515.344670575501</v>
      </c>
      <c r="BK14" s="2">
        <f t="shared" si="26"/>
        <v>22740.498117281255</v>
      </c>
      <c r="BL14" s="2">
        <f t="shared" si="26"/>
        <v>22967.903098454066</v>
      </c>
      <c r="BM14" s="2">
        <f t="shared" si="26"/>
        <v>23197.582129438608</v>
      </c>
      <c r="BN14" s="2">
        <f t="shared" si="26"/>
        <v>23429.557950732993</v>
      </c>
      <c r="BO14" s="2">
        <f t="shared" si="26"/>
        <v>23663.853530240322</v>
      </c>
      <c r="BP14" s="2">
        <f t="shared" si="26"/>
        <v>23900.492065542727</v>
      </c>
      <c r="BQ14" s="2">
        <f t="shared" si="26"/>
        <v>24139.496986198155</v>
      </c>
      <c r="BR14" s="2">
        <f t="shared" si="26"/>
        <v>24380.891956060139</v>
      </c>
      <c r="BS14" s="2">
        <f t="shared" si="26"/>
        <v>24624.70087562074</v>
      </c>
      <c r="BT14" s="2">
        <f t="shared" si="26"/>
        <v>24870.947884376947</v>
      </c>
      <c r="BU14" s="2">
        <f t="shared" si="26"/>
        <v>25119.657363220715</v>
      </c>
      <c r="BV14" s="2">
        <f t="shared" si="26"/>
        <v>25370.853936852924</v>
      </c>
      <c r="BW14" s="2">
        <f t="shared" si="26"/>
        <v>25624.562476221454</v>
      </c>
      <c r="BX14" s="2">
        <f t="shared" si="26"/>
        <v>25880.808100983668</v>
      </c>
      <c r="BY14" s="2">
        <f t="shared" si="26"/>
        <v>26139.616181993504</v>
      </c>
      <c r="BZ14" s="2">
        <f t="shared" si="26"/>
        <v>26401.01234381344</v>
      </c>
      <c r="CA14" s="2">
        <f t="shared" ref="CA14:CK14" si="27">+BZ14*(1+$P$22)</f>
        <v>26665.022467251576</v>
      </c>
      <c r="CB14" s="2">
        <f t="shared" si="27"/>
        <v>26931.672691924094</v>
      </c>
      <c r="CC14" s="2">
        <f t="shared" si="27"/>
        <v>27200.989418843335</v>
      </c>
      <c r="CD14" s="2">
        <f t="shared" si="27"/>
        <v>27472.999313031771</v>
      </c>
      <c r="CE14" s="2">
        <f t="shared" si="27"/>
        <v>27747.729306162088</v>
      </c>
      <c r="CF14" s="2">
        <f t="shared" si="27"/>
        <v>28025.206599223708</v>
      </c>
      <c r="CG14" s="2">
        <f t="shared" si="27"/>
        <v>28305.458665215945</v>
      </c>
      <c r="CH14" s="2">
        <f t="shared" si="27"/>
        <v>28588.513251868106</v>
      </c>
      <c r="CI14" s="2">
        <f t="shared" si="27"/>
        <v>28874.398384386786</v>
      </c>
      <c r="CJ14" s="2">
        <f t="shared" si="27"/>
        <v>29163.142368230656</v>
      </c>
      <c r="CK14" s="2">
        <f t="shared" si="27"/>
        <v>29454.773791912961</v>
      </c>
    </row>
    <row r="15" spans="1:89" x14ac:dyDescent="0.2">
      <c r="B15" t="s">
        <v>25</v>
      </c>
      <c r="C15" s="1">
        <f>+C14/C16</f>
        <v>11.130908555441025</v>
      </c>
      <c r="D15" s="1">
        <f>+D14/D16</f>
        <v>13.321635642355814</v>
      </c>
      <c r="E15" s="1">
        <f>+E14/E16</f>
        <v>14.814102564102564</v>
      </c>
      <c r="F15" s="1">
        <f>+F14/F16</f>
        <v>14.252704031465093</v>
      </c>
      <c r="G15" s="1">
        <f>+G14/G16</f>
        <v>15.026289845547156</v>
      </c>
      <c r="H15" s="1">
        <f t="shared" ref="H15:K15" si="28">+H14/H16</f>
        <v>15.82274071639829</v>
      </c>
      <c r="I15" s="1">
        <f t="shared" si="28"/>
        <v>17.570101544528427</v>
      </c>
      <c r="J15" s="1">
        <f t="shared" si="28"/>
        <v>18.774636072954319</v>
      </c>
      <c r="K15" s="1">
        <f t="shared" si="28"/>
        <v>20.033005584193226</v>
      </c>
      <c r="L15" s="1">
        <f t="shared" ref="L15" si="29">+L14/L16</f>
        <v>21.347262113015116</v>
      </c>
      <c r="M15" s="1">
        <f t="shared" ref="M15" si="30">+M14/M16</f>
        <v>22.719529655065678</v>
      </c>
    </row>
    <row r="16" spans="1:89" x14ac:dyDescent="0.2">
      <c r="B16" t="s">
        <v>1</v>
      </c>
      <c r="C16" s="2">
        <v>679.1</v>
      </c>
      <c r="D16" s="2">
        <v>655.4</v>
      </c>
      <c r="E16" s="2">
        <v>624</v>
      </c>
      <c r="F16" s="2">
        <v>610.20000000000005</v>
      </c>
      <c r="G16" s="2">
        <v>608.6</v>
      </c>
      <c r="H16" s="2">
        <v>608.6</v>
      </c>
      <c r="I16" s="2">
        <v>608.6</v>
      </c>
      <c r="J16" s="2">
        <v>608.6</v>
      </c>
      <c r="K16" s="2">
        <v>608.6</v>
      </c>
      <c r="L16" s="2">
        <v>608.6</v>
      </c>
      <c r="M16" s="2">
        <v>608.6</v>
      </c>
    </row>
    <row r="18" spans="2:16" x14ac:dyDescent="0.2">
      <c r="B18" t="s">
        <v>41</v>
      </c>
      <c r="D18" s="5">
        <f>D3/C3-1</f>
        <v>0.11626478267547236</v>
      </c>
      <c r="E18" s="5">
        <f>E3/D3-1</f>
        <v>0.14084571638231513</v>
      </c>
      <c r="F18" s="5">
        <f>F3/E3-1</f>
        <v>-3.0391959798995005E-2</v>
      </c>
      <c r="G18" s="5">
        <f>G3/F3-1</f>
        <v>5.4314026286330641E-3</v>
      </c>
    </row>
    <row r="20" spans="2:16" x14ac:dyDescent="0.2">
      <c r="B20" t="s">
        <v>46</v>
      </c>
      <c r="G20" s="2">
        <f>+G21-G31</f>
        <v>-27492</v>
      </c>
      <c r="H20" s="2">
        <f>+G20+H14</f>
        <v>-17862.28</v>
      </c>
      <c r="I20" s="2">
        <f>+H20+I14</f>
        <v>-7169.1161999999986</v>
      </c>
      <c r="J20" s="2">
        <f>+I20+J14</f>
        <v>4257.1273140000012</v>
      </c>
      <c r="K20" s="2">
        <f>+J20+K14</f>
        <v>16449.214512539998</v>
      </c>
      <c r="L20" s="2">
        <f t="shared" ref="L20:M20" si="31">+K20+L14</f>
        <v>29441.158234520997</v>
      </c>
      <c r="M20" s="2">
        <f t="shared" si="31"/>
        <v>43268.26398259397</v>
      </c>
    </row>
    <row r="21" spans="2:16" s="2" customFormat="1" x14ac:dyDescent="0.2">
      <c r="B21" s="2" t="s">
        <v>3</v>
      </c>
      <c r="G21" s="2">
        <f>1016+20+2664</f>
        <v>3700</v>
      </c>
    </row>
    <row r="22" spans="2:16" s="2" customFormat="1" x14ac:dyDescent="0.2">
      <c r="B22" s="2" t="s">
        <v>28</v>
      </c>
      <c r="G22" s="2">
        <v>1894</v>
      </c>
      <c r="O22" t="s">
        <v>42</v>
      </c>
      <c r="P22" s="5">
        <v>0.01</v>
      </c>
    </row>
    <row r="23" spans="2:16" s="2" customFormat="1" x14ac:dyDescent="0.2">
      <c r="B23" s="2" t="s">
        <v>29</v>
      </c>
      <c r="G23" s="2">
        <v>769</v>
      </c>
      <c r="O23" t="s">
        <v>43</v>
      </c>
      <c r="P23" s="5">
        <v>0.09</v>
      </c>
    </row>
    <row r="24" spans="2:16" s="2" customFormat="1" x14ac:dyDescent="0.2">
      <c r="B24" s="2" t="s">
        <v>30</v>
      </c>
      <c r="G24" s="2">
        <v>322</v>
      </c>
      <c r="O24" s="2" t="s">
        <v>44</v>
      </c>
      <c r="P24" s="5">
        <v>0.02</v>
      </c>
    </row>
    <row r="25" spans="2:16" s="2" customFormat="1" x14ac:dyDescent="0.2">
      <c r="B25" s="2" t="s">
        <v>27</v>
      </c>
      <c r="G25" s="2">
        <v>58343</v>
      </c>
      <c r="O25" s="2" t="s">
        <v>45</v>
      </c>
      <c r="P25" s="2">
        <f>NPV(Model!P23,I14:CK14)+H14+Main!J5-Main!J6</f>
        <v>142281.1176818005</v>
      </c>
    </row>
    <row r="26" spans="2:16" s="2" customFormat="1" x14ac:dyDescent="0.2">
      <c r="B26" s="2" t="s">
        <v>31</v>
      </c>
      <c r="G26" s="2">
        <v>1297</v>
      </c>
      <c r="O26" s="2" t="s">
        <v>47</v>
      </c>
      <c r="P26" s="1">
        <f>+P25/Main!J3</f>
        <v>235.45327490923259</v>
      </c>
    </row>
    <row r="27" spans="2:16" s="2" customFormat="1" x14ac:dyDescent="0.2">
      <c r="B27" s="2" t="s">
        <v>16</v>
      </c>
      <c r="G27" s="2">
        <v>1390</v>
      </c>
    </row>
    <row r="28" spans="2:16" s="2" customFormat="1" x14ac:dyDescent="0.2">
      <c r="B28" s="2" t="s">
        <v>26</v>
      </c>
      <c r="G28" s="2">
        <f>SUM(G21:G27)</f>
        <v>67715</v>
      </c>
    </row>
    <row r="30" spans="2:16" s="2" customFormat="1" x14ac:dyDescent="0.2">
      <c r="B30" s="2" t="s">
        <v>32</v>
      </c>
      <c r="G30" s="2">
        <v>3829</v>
      </c>
    </row>
    <row r="31" spans="2:16" s="2" customFormat="1" x14ac:dyDescent="0.2">
      <c r="B31" s="2" t="s">
        <v>4</v>
      </c>
      <c r="G31" s="2">
        <f>1425+29767</f>
        <v>31192</v>
      </c>
    </row>
    <row r="32" spans="2:16" s="2" customFormat="1" x14ac:dyDescent="0.2">
      <c r="B32" s="2" t="s">
        <v>31</v>
      </c>
      <c r="G32" s="2">
        <v>925</v>
      </c>
    </row>
    <row r="33" spans="2:7" s="2" customFormat="1" x14ac:dyDescent="0.2">
      <c r="B33" s="2" t="s">
        <v>36</v>
      </c>
      <c r="G33" s="2">
        <v>13151</v>
      </c>
    </row>
    <row r="34" spans="2:7" s="2" customFormat="1" x14ac:dyDescent="0.2">
      <c r="B34" s="2" t="s">
        <v>35</v>
      </c>
      <c r="G34" s="2">
        <v>1728</v>
      </c>
    </row>
    <row r="35" spans="2:7" s="2" customFormat="1" x14ac:dyDescent="0.2">
      <c r="B35" s="2" t="s">
        <v>34</v>
      </c>
      <c r="G35" s="2">
        <v>16890</v>
      </c>
    </row>
    <row r="36" spans="2:7" s="2" customFormat="1" x14ac:dyDescent="0.2">
      <c r="B36" s="2" t="s">
        <v>33</v>
      </c>
      <c r="G36" s="2">
        <f>SUM(G30:G35)</f>
        <v>67715</v>
      </c>
    </row>
    <row r="38" spans="2:7" s="2" customFormat="1" x14ac:dyDescent="0.2">
      <c r="B38" s="2" t="s">
        <v>38</v>
      </c>
      <c r="E38" s="2">
        <v>9362</v>
      </c>
      <c r="F38" s="2">
        <v>8379</v>
      </c>
      <c r="G38" s="2">
        <v>9346</v>
      </c>
    </row>
    <row r="39" spans="2:7" s="2" customFormat="1" x14ac:dyDescent="0.2">
      <c r="B39" s="2" t="s">
        <v>39</v>
      </c>
      <c r="E39" s="2">
        <v>3620</v>
      </c>
      <c r="F39" s="2">
        <v>3606</v>
      </c>
      <c r="G39" s="2">
        <v>3452</v>
      </c>
    </row>
    <row r="40" spans="2:7" s="2" customFormat="1" x14ac:dyDescent="0.2">
      <c r="B40" s="2" t="s">
        <v>40</v>
      </c>
      <c r="E40" s="2">
        <f>+E38-E39</f>
        <v>5742</v>
      </c>
      <c r="F40" s="2">
        <f>+F38-F39</f>
        <v>4773</v>
      </c>
      <c r="G40" s="2">
        <f>+G38-G39</f>
        <v>5894</v>
      </c>
    </row>
  </sheetData>
  <hyperlinks>
    <hyperlink ref="A1" location="Main!A1" display="Main" xr:uid="{21418514-EA97-46A4-9AA4-5E7C01755C4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2025-04-10T16:20:10Z</dcterms:created>
  <dcterms:modified xsi:type="dcterms:W3CDTF">2025-10-16T16:05:29Z</dcterms:modified>
</cp:coreProperties>
</file>