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6226E37-3BEE-453A-9526-B04EDF473FFA}" xr6:coauthVersionLast="47" xr6:coauthVersionMax="47" xr10:uidLastSave="{00000000-0000-0000-0000-000000000000}"/>
  <bookViews>
    <workbookView xWindow="2415" yWindow="4800" windowWidth="18075" windowHeight="16020" xr2:uid="{A64EDFA1-7DA7-45A8-9320-01E928DB3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4" i="2" l="1"/>
  <c r="J48" i="2" s="1"/>
  <c r="J34" i="2"/>
  <c r="J27" i="2"/>
  <c r="J37" i="2"/>
  <c r="S18" i="2"/>
  <c r="S16" i="2"/>
  <c r="S13" i="2"/>
  <c r="S12" i="2"/>
  <c r="S11" i="2"/>
  <c r="S14" i="2" s="1"/>
  <c r="S9" i="2"/>
  <c r="S8" i="2"/>
  <c r="S10" i="2" s="1"/>
  <c r="S15" i="2" s="1"/>
  <c r="S17" i="2" s="1"/>
  <c r="S19" i="2" s="1"/>
  <c r="S7" i="2"/>
  <c r="S6" i="2"/>
  <c r="I74" i="2"/>
  <c r="D8" i="2"/>
  <c r="D10" i="2" s="1"/>
  <c r="D14" i="2"/>
  <c r="E14" i="2"/>
  <c r="E8" i="2"/>
  <c r="E10" i="2"/>
  <c r="J60" i="2"/>
  <c r="J61" i="2" s="1"/>
  <c r="J66" i="2" s="1"/>
  <c r="F14" i="2"/>
  <c r="F8" i="2"/>
  <c r="F10" i="2" s="1"/>
  <c r="J14" i="2"/>
  <c r="J8" i="2"/>
  <c r="J10" i="2" s="1"/>
  <c r="K60" i="2"/>
  <c r="K61" i="2"/>
  <c r="K66" i="2" s="1"/>
  <c r="K48" i="2"/>
  <c r="K42" i="2"/>
  <c r="K44" i="2"/>
  <c r="K34" i="2"/>
  <c r="K27" i="2"/>
  <c r="K37" i="2" s="1"/>
  <c r="K14" i="2"/>
  <c r="I14" i="2"/>
  <c r="H14" i="2"/>
  <c r="G14" i="2"/>
  <c r="K8" i="2"/>
  <c r="K10" i="2" s="1"/>
  <c r="I8" i="2"/>
  <c r="I10" i="2" s="1"/>
  <c r="H8" i="2"/>
  <c r="H10" i="2" s="1"/>
  <c r="G8" i="2"/>
  <c r="G10" i="2" s="1"/>
  <c r="G15" i="2" s="1"/>
  <c r="G17" i="2" s="1"/>
  <c r="G19" i="2" s="1"/>
  <c r="G20" i="2" s="1"/>
  <c r="J5" i="1"/>
  <c r="J4" i="1"/>
  <c r="J7" i="1" s="1"/>
  <c r="J3" i="1"/>
  <c r="E15" i="2" l="1"/>
  <c r="E17" i="2" s="1"/>
  <c r="E19" i="2" s="1"/>
  <c r="E20" i="2" s="1"/>
  <c r="K23" i="2"/>
  <c r="J23" i="2"/>
  <c r="I23" i="2"/>
  <c r="H23" i="2"/>
  <c r="I15" i="2"/>
  <c r="I17" i="2" s="1"/>
  <c r="I19" i="2" s="1"/>
  <c r="I20" i="2" s="1"/>
  <c r="D15" i="2"/>
  <c r="D17" i="2" s="1"/>
  <c r="D19" i="2" s="1"/>
  <c r="D20" i="2" s="1"/>
  <c r="H15" i="2"/>
  <c r="H17" i="2" s="1"/>
  <c r="H19" i="2" s="1"/>
  <c r="H20" i="2" s="1"/>
  <c r="F15" i="2"/>
  <c r="F17" i="2" s="1"/>
  <c r="F19" i="2" s="1"/>
  <c r="F20" i="2" s="1"/>
  <c r="J15" i="2"/>
  <c r="J17" i="2" s="1"/>
  <c r="J19" i="2" s="1"/>
  <c r="K15" i="2"/>
  <c r="K17" i="2" s="1"/>
  <c r="K19" i="2" s="1"/>
  <c r="J20" i="2" l="1"/>
  <c r="J50" i="2"/>
  <c r="K20" i="2"/>
  <c r="K50" i="2"/>
</calcChain>
</file>

<file path=xl/sharedStrings.xml><?xml version="1.0" encoding="utf-8"?>
<sst xmlns="http://schemas.openxmlformats.org/spreadsheetml/2006/main" count="99" uniqueCount="88">
  <si>
    <t>Price</t>
  </si>
  <si>
    <t>Shares</t>
  </si>
  <si>
    <t>MC</t>
  </si>
  <si>
    <t>Cash</t>
  </si>
  <si>
    <t>Debt</t>
  </si>
  <si>
    <t>EV</t>
  </si>
  <si>
    <t>Q122</t>
  </si>
  <si>
    <t>Main</t>
  </si>
  <si>
    <t>Subscription</t>
  </si>
  <si>
    <t>Professional</t>
  </si>
  <si>
    <t>Revenue</t>
  </si>
  <si>
    <t>Gross Profit</t>
  </si>
  <si>
    <t>COGS</t>
  </si>
  <si>
    <t>R&amp;D</t>
  </si>
  <si>
    <t>S&amp;M</t>
  </si>
  <si>
    <t>G&amp;A</t>
  </si>
  <si>
    <t>OpEx</t>
  </si>
  <si>
    <t>OpInc</t>
  </si>
  <si>
    <t>Other</t>
  </si>
  <si>
    <t>Net Income</t>
  </si>
  <si>
    <t>Taxes</t>
  </si>
  <si>
    <t>Pretax</t>
  </si>
  <si>
    <t>EPS</t>
  </si>
  <si>
    <t>Revenue y/y</t>
  </si>
  <si>
    <t>Gross Margin</t>
  </si>
  <si>
    <t>Assets</t>
  </si>
  <si>
    <t>AR</t>
  </si>
  <si>
    <t>Unbilled AR</t>
  </si>
  <si>
    <t>Prepaids</t>
  </si>
  <si>
    <t>PP&amp;E</t>
  </si>
  <si>
    <t>Deferred Costs</t>
  </si>
  <si>
    <t>Lease</t>
  </si>
  <si>
    <t>Goodwill</t>
  </si>
  <si>
    <t>DT</t>
  </si>
  <si>
    <t>OLTA</t>
  </si>
  <si>
    <t>SE</t>
  </si>
  <si>
    <t>L+SE</t>
  </si>
  <si>
    <t>AP</t>
  </si>
  <si>
    <t>Compensation</t>
  </si>
  <si>
    <t>AE</t>
  </si>
  <si>
    <t>DR</t>
  </si>
  <si>
    <t>OLTL</t>
  </si>
  <si>
    <t>CFFO</t>
  </si>
  <si>
    <t>Model NI</t>
  </si>
  <si>
    <t>Reported NI</t>
  </si>
  <si>
    <t>D&amp;A</t>
  </si>
  <si>
    <t>ROU</t>
  </si>
  <si>
    <t>SBC</t>
  </si>
  <si>
    <t>Amortization</t>
  </si>
  <si>
    <t>FX</t>
  </si>
  <si>
    <t>Bad Debt</t>
  </si>
  <si>
    <t>WC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</si>
  <si>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</si>
  <si>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</si>
  <si>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</si>
  <si>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</si>
  <si>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</si>
  <si>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</si>
  <si>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</si>
  <si>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</si>
  <si>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</si>
  <si>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</si>
  <si>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</si>
  <si>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</si>
  <si>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Commercial</t>
  </si>
  <si>
    <t>CFFF</t>
  </si>
  <si>
    <t>CFFI</t>
  </si>
  <si>
    <t>CIC</t>
  </si>
  <si>
    <t>Veeva Vault</t>
  </si>
  <si>
    <t>Clinical</t>
  </si>
  <si>
    <t>CRO</t>
  </si>
  <si>
    <t>Quality</t>
  </si>
  <si>
    <t>Safety</t>
  </si>
  <si>
    <t>RIM</t>
  </si>
  <si>
    <t>Veeva Commercial Cloud</t>
  </si>
  <si>
    <t>CRM</t>
  </si>
  <si>
    <t>Medical</t>
  </si>
  <si>
    <t>PromoMats</t>
  </si>
  <si>
    <t>Crossix</t>
  </si>
  <si>
    <t>Data Cloud</t>
  </si>
  <si>
    <t>OpenData</t>
  </si>
  <si>
    <t>Link</t>
  </si>
  <si>
    <t>Compass</t>
  </si>
  <si>
    <t>Customers</t>
  </si>
  <si>
    <t>Employees</t>
  </si>
  <si>
    <t>FY2023</t>
  </si>
  <si>
    <t>FY2024</t>
  </si>
  <si>
    <t>FY2025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</si>
</sst>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B2EB075-E1FD-43C8-B9AE-6B5D6DE806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76200</xdr:rowOff>
    </xdr:from>
    <xdr:to>
      <xdr:col>11</xdr:col>
      <xdr:colOff>0</xdr:colOff>
      <xdr:row>77</xdr:row>
      <xdr:rowOff>146957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24BB38-EFC5-185A-7300-99DBDA4F91C6}"/>
            </a:ext>
          </a:extLst>
        </xdr:cNvPr>
        <xdr:cNvCxnSpPr/>
      </xdr:nvCxnSpPr>
      <xdr:spPr>
        <a:xfrm>
          <a:off x="14205857" y="76200"/>
          <a:ext cx="0" cy="126437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2F33-EF21-4583-844B-1A17BBB6AAB1}">
  <dimension ref="B2:K18"/>
  <sheetViews>
    <sheetView tabSelected="1" workbookViewId="0">
      <selection activeCell="P20" sqref="P20"/>
    </sheetView>
  </sheetViews>
  <sheetFormatPr defaultRowHeight="12.75" x14ac:dyDescent="0.2"/>
  <cols>
    <col min="1" max="1" width="5.140625" customWidth="1"/>
  </cols>
  <sheetData>
    <row r="2" spans="2:11" x14ac:dyDescent="0.2">
      <c r="I2" t="s">
        <v>0</v>
      </c>
      <c r="J2" s="1">
        <v>228.96</v>
      </c>
    </row>
    <row r="3" spans="2:11" x14ac:dyDescent="0.2">
      <c r="B3" s="11" t="s">
        <v>68</v>
      </c>
      <c r="I3" t="s">
        <v>1</v>
      </c>
      <c r="J3" s="2">
        <f>140.081514+14.765491</f>
        <v>154.847005</v>
      </c>
      <c r="K3" s="3" t="s">
        <v>6</v>
      </c>
    </row>
    <row r="4" spans="2:11" x14ac:dyDescent="0.2">
      <c r="B4" t="s">
        <v>69</v>
      </c>
      <c r="C4" t="s">
        <v>70</v>
      </c>
      <c r="I4" t="s">
        <v>2</v>
      </c>
      <c r="J4" s="2">
        <f>+J2*J3</f>
        <v>35453.770264799998</v>
      </c>
    </row>
    <row r="5" spans="2:11" x14ac:dyDescent="0.2">
      <c r="B5" t="s">
        <v>71</v>
      </c>
      <c r="I5" t="s">
        <v>3</v>
      </c>
      <c r="J5" s="2">
        <f>1239.998+1598.555</f>
        <v>2838.5529999999999</v>
      </c>
      <c r="K5" s="3" t="s">
        <v>6</v>
      </c>
    </row>
    <row r="6" spans="2:11" x14ac:dyDescent="0.2">
      <c r="B6" t="s">
        <v>72</v>
      </c>
      <c r="I6" t="s">
        <v>4</v>
      </c>
      <c r="J6" s="2">
        <v>0</v>
      </c>
      <c r="K6" s="3" t="s">
        <v>6</v>
      </c>
    </row>
    <row r="7" spans="2:11" x14ac:dyDescent="0.2">
      <c r="B7" t="s">
        <v>73</v>
      </c>
      <c r="I7" t="s">
        <v>5</v>
      </c>
      <c r="J7" s="2">
        <f>+J4-J5+J6</f>
        <v>32615.217264799998</v>
      </c>
    </row>
    <row r="9" spans="2:11" x14ac:dyDescent="0.2">
      <c r="B9" s="11" t="s">
        <v>74</v>
      </c>
    </row>
    <row r="10" spans="2:11" x14ac:dyDescent="0.2">
      <c r="B10" t="s">
        <v>75</v>
      </c>
    </row>
    <row r="11" spans="2:11" x14ac:dyDescent="0.2">
      <c r="B11" t="s">
        <v>76</v>
      </c>
    </row>
    <row r="12" spans="2:11" x14ac:dyDescent="0.2">
      <c r="B12" t="s">
        <v>77</v>
      </c>
    </row>
    <row r="13" spans="2:11" x14ac:dyDescent="0.2">
      <c r="B13" t="s">
        <v>78</v>
      </c>
    </row>
    <row r="15" spans="2:11" x14ac:dyDescent="0.2">
      <c r="B15" s="11" t="s">
        <v>79</v>
      </c>
    </row>
    <row r="16" spans="2:11" x14ac:dyDescent="0.2">
      <c r="B16" t="s">
        <v>80</v>
      </c>
    </row>
    <row r="17" spans="2:2" x14ac:dyDescent="0.2">
      <c r="B17" t="s">
        <v>81</v>
      </c>
    </row>
    <row r="18" spans="2:2" x14ac:dyDescent="0.2">
      <c r="B18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675E-BD88-4C68-BD92-E1E96AC19D66}">
  <dimension ref="A1:U7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defaultRowHeight="12.75" x14ac:dyDescent="0.2"/>
  <cols>
    <col min="1" max="1" width="5" bestFit="1" customWidth="1"/>
    <col min="2" max="2" width="13.42578125" bestFit="1" customWidth="1"/>
    <col min="5" max="7" width="10.140625" bestFit="1" customWidth="1"/>
    <col min="9" max="11" width="10.140625" bestFit="1" customWidth="1"/>
    <col min="18" max="19" width="10.140625" style="3" bestFit="1" customWidth="1"/>
    <col min="20" max="21" width="9.140625" style="3"/>
  </cols>
  <sheetData>
    <row r="1" spans="1:21" x14ac:dyDescent="0.2">
      <c r="A1" s="7" t="s">
        <v>7</v>
      </c>
    </row>
    <row r="2" spans="1:21" s="9" customFormat="1" x14ac:dyDescent="0.2">
      <c r="E2" s="9">
        <v>44865</v>
      </c>
      <c r="F2" s="9">
        <v>44957</v>
      </c>
      <c r="G2" s="9">
        <v>45046</v>
      </c>
      <c r="I2" s="9">
        <v>45230</v>
      </c>
      <c r="J2" s="9">
        <v>45322</v>
      </c>
      <c r="K2" s="9">
        <v>45412</v>
      </c>
      <c r="R2" s="9">
        <v>44957</v>
      </c>
      <c r="S2" s="9">
        <v>45322</v>
      </c>
      <c r="T2" s="10"/>
      <c r="U2" s="10"/>
    </row>
    <row r="3" spans="1:21" x14ac:dyDescent="0.2"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60</v>
      </c>
      <c r="L3" s="3" t="s">
        <v>61</v>
      </c>
      <c r="M3" s="3" t="s">
        <v>62</v>
      </c>
      <c r="N3" s="3" t="s">
        <v>63</v>
      </c>
      <c r="R3" s="3" t="s">
        <v>85</v>
      </c>
      <c r="S3" s="3" t="s">
        <v>86</v>
      </c>
      <c r="T3" s="3" t="s">
        <v>87</v>
      </c>
    </row>
    <row r="4" spans="1:21" x14ac:dyDescent="0.2">
      <c r="B4" t="s">
        <v>64</v>
      </c>
      <c r="C4" s="3"/>
      <c r="D4" s="3"/>
      <c r="E4" s="3"/>
      <c r="F4" s="3"/>
      <c r="G4" s="4">
        <v>239.32400000000001</v>
      </c>
      <c r="H4" s="4"/>
      <c r="I4" s="4"/>
      <c r="J4" s="4"/>
      <c r="K4" s="4">
        <v>261.31599999999997</v>
      </c>
      <c r="L4" s="3"/>
      <c r="M4" s="3"/>
      <c r="N4" s="3"/>
    </row>
    <row r="5" spans="1:21" x14ac:dyDescent="0.2">
      <c r="B5" t="s">
        <v>13</v>
      </c>
      <c r="C5" s="3"/>
      <c r="D5" s="3"/>
      <c r="E5" s="3"/>
      <c r="F5" s="3"/>
      <c r="G5" s="4">
        <v>175.22200000000001</v>
      </c>
      <c r="H5" s="4"/>
      <c r="I5" s="4"/>
      <c r="J5" s="4"/>
      <c r="K5" s="4">
        <v>272.63900000000001</v>
      </c>
      <c r="L5" s="3"/>
      <c r="M5" s="3"/>
      <c r="N5" s="3"/>
    </row>
    <row r="6" spans="1:21" s="2" customFormat="1" x14ac:dyDescent="0.2">
      <c r="B6" s="2" t="s">
        <v>8</v>
      </c>
      <c r="D6" s="2">
        <v>428.649</v>
      </c>
      <c r="E6" s="2">
        <v>441.56900000000002</v>
      </c>
      <c r="F6" s="2">
        <v>460.15199999999999</v>
      </c>
      <c r="G6" s="2">
        <v>414.54599999999999</v>
      </c>
      <c r="H6" s="2">
        <v>470.637</v>
      </c>
      <c r="I6" s="2">
        <v>494.91199999999998</v>
      </c>
      <c r="J6" s="2">
        <v>521.49800000000005</v>
      </c>
      <c r="K6" s="2">
        <v>533.95500000000004</v>
      </c>
      <c r="R6" s="4"/>
      <c r="S6" s="4">
        <f>SUM(G6:J6)</f>
        <v>1901.5930000000001</v>
      </c>
      <c r="T6" s="4"/>
      <c r="U6" s="4"/>
    </row>
    <row r="7" spans="1:21" s="2" customFormat="1" x14ac:dyDescent="0.2">
      <c r="B7" s="2" t="s">
        <v>9</v>
      </c>
      <c r="D7" s="2">
        <v>105.569</v>
      </c>
      <c r="E7" s="2">
        <v>110.782</v>
      </c>
      <c r="F7" s="2">
        <v>103.23699999999999</v>
      </c>
      <c r="G7" s="2">
        <v>111.779</v>
      </c>
      <c r="H7" s="2">
        <v>119.58799999999999</v>
      </c>
      <c r="I7" s="2">
        <v>121.593</v>
      </c>
      <c r="J7" s="2">
        <v>109.12</v>
      </c>
      <c r="K7" s="2">
        <v>116.39</v>
      </c>
      <c r="R7" s="4"/>
      <c r="S7" s="4">
        <f>SUM(G7:J7)</f>
        <v>462.08</v>
      </c>
      <c r="T7" s="4"/>
      <c r="U7" s="4"/>
    </row>
    <row r="8" spans="1:21" s="5" customFormat="1" x14ac:dyDescent="0.2">
      <c r="B8" s="5" t="s">
        <v>10</v>
      </c>
      <c r="D8" s="5">
        <f>+D6+D7</f>
        <v>534.21799999999996</v>
      </c>
      <c r="E8" s="5">
        <f>+E6+E7</f>
        <v>552.351</v>
      </c>
      <c r="F8" s="5">
        <f>+F6+F7</f>
        <v>563.38900000000001</v>
      </c>
      <c r="G8" s="5">
        <f>+G6+G7</f>
        <v>526.32500000000005</v>
      </c>
      <c r="H8" s="5">
        <f t="shared" ref="H8:K8" si="0">+H6+H7</f>
        <v>590.22500000000002</v>
      </c>
      <c r="I8" s="5">
        <f t="shared" si="0"/>
        <v>616.505</v>
      </c>
      <c r="J8" s="5">
        <f t="shared" si="0"/>
        <v>630.61800000000005</v>
      </c>
      <c r="K8" s="5">
        <f t="shared" si="0"/>
        <v>650.34500000000003</v>
      </c>
      <c r="R8" s="6"/>
      <c r="S8" s="6">
        <f>+S6+S7</f>
        <v>2363.6730000000002</v>
      </c>
      <c r="T8" s="6"/>
      <c r="U8" s="6"/>
    </row>
    <row r="9" spans="1:21" s="2" customFormat="1" x14ac:dyDescent="0.2">
      <c r="B9" s="2" t="s">
        <v>12</v>
      </c>
      <c r="D9" s="2">
        <v>151.66900000000001</v>
      </c>
      <c r="E9" s="2">
        <v>153.90700000000001</v>
      </c>
      <c r="F9" s="2">
        <v>164.31399999999999</v>
      </c>
      <c r="G9" s="2">
        <v>166.66300000000001</v>
      </c>
      <c r="H9" s="2">
        <v>169.018</v>
      </c>
      <c r="I9" s="2">
        <v>167.68199999999999</v>
      </c>
      <c r="J9" s="2">
        <v>173.928</v>
      </c>
      <c r="K9" s="2">
        <v>173.88399999999999</v>
      </c>
      <c r="R9" s="4"/>
      <c r="S9" s="4">
        <f>SUM(G9:J9)</f>
        <v>677.29100000000005</v>
      </c>
      <c r="T9" s="4"/>
      <c r="U9" s="4"/>
    </row>
    <row r="10" spans="1:21" s="2" customFormat="1" x14ac:dyDescent="0.2">
      <c r="B10" s="2" t="s">
        <v>11</v>
      </c>
      <c r="D10" s="2">
        <f t="shared" ref="D10:I10" si="1">+D8-D9</f>
        <v>382.54899999999998</v>
      </c>
      <c r="E10" s="2">
        <f t="shared" si="1"/>
        <v>398.44399999999996</v>
      </c>
      <c r="F10" s="2">
        <f t="shared" si="1"/>
        <v>399.07500000000005</v>
      </c>
      <c r="G10" s="2">
        <f t="shared" si="1"/>
        <v>359.66200000000003</v>
      </c>
      <c r="H10" s="2">
        <f t="shared" si="1"/>
        <v>421.20699999999999</v>
      </c>
      <c r="I10" s="2">
        <f t="shared" si="1"/>
        <v>448.82299999999998</v>
      </c>
      <c r="J10" s="2">
        <f>+J8-J9</f>
        <v>456.69000000000005</v>
      </c>
      <c r="K10" s="2">
        <f>+K8-K9</f>
        <v>476.46100000000001</v>
      </c>
      <c r="R10" s="4"/>
      <c r="S10" s="4">
        <f>+S8-S9</f>
        <v>1686.3820000000001</v>
      </c>
      <c r="T10" s="4"/>
      <c r="U10" s="4"/>
    </row>
    <row r="11" spans="1:21" s="2" customFormat="1" x14ac:dyDescent="0.2">
      <c r="B11" s="2" t="s">
        <v>13</v>
      </c>
      <c r="D11" s="2">
        <v>134.00800000000001</v>
      </c>
      <c r="E11" s="2">
        <v>130.25700000000001</v>
      </c>
      <c r="F11" s="2">
        <v>142.53800000000001</v>
      </c>
      <c r="G11" s="2">
        <v>146.96</v>
      </c>
      <c r="H11" s="2">
        <v>157.22800000000001</v>
      </c>
      <c r="I11" s="2">
        <v>161.27799999999999</v>
      </c>
      <c r="J11" s="2">
        <v>163.565</v>
      </c>
      <c r="K11" s="2">
        <v>162.71100000000001</v>
      </c>
      <c r="R11" s="4"/>
      <c r="S11" s="4">
        <f>SUM(G11:J11)</f>
        <v>629.03099999999995</v>
      </c>
      <c r="T11" s="4"/>
      <c r="U11" s="4"/>
    </row>
    <row r="12" spans="1:21" s="2" customFormat="1" x14ac:dyDescent="0.2">
      <c r="B12" s="2" t="s">
        <v>14</v>
      </c>
      <c r="D12" s="2">
        <v>89.617000000000004</v>
      </c>
      <c r="E12" s="2">
        <v>93.91</v>
      </c>
      <c r="F12" s="2">
        <v>89.049000000000007</v>
      </c>
      <c r="G12" s="2">
        <v>88.503</v>
      </c>
      <c r="H12" s="2">
        <v>96.995000000000005</v>
      </c>
      <c r="I12" s="2">
        <v>96.772999999999996</v>
      </c>
      <c r="J12" s="2">
        <v>99.203000000000003</v>
      </c>
      <c r="K12" s="2">
        <v>97.301000000000002</v>
      </c>
      <c r="R12" s="4"/>
      <c r="S12" s="4">
        <f>SUM(G12:J12)</f>
        <v>381.47399999999993</v>
      </c>
      <c r="T12" s="4"/>
      <c r="U12" s="4"/>
    </row>
    <row r="13" spans="1:21" s="2" customFormat="1" x14ac:dyDescent="0.2">
      <c r="B13" s="2" t="s">
        <v>15</v>
      </c>
      <c r="D13" s="2">
        <v>57.832000000000001</v>
      </c>
      <c r="E13" s="2">
        <v>52.872999999999998</v>
      </c>
      <c r="F13" s="2">
        <v>58.564999999999998</v>
      </c>
      <c r="G13" s="2">
        <v>62.668999999999997</v>
      </c>
      <c r="H13" s="2">
        <v>62.935000000000002</v>
      </c>
      <c r="I13" s="2">
        <v>62.283000000000001</v>
      </c>
      <c r="J13" s="2">
        <v>58.658000000000001</v>
      </c>
      <c r="K13" s="2">
        <v>61.277000000000001</v>
      </c>
      <c r="R13" s="4"/>
      <c r="S13" s="4">
        <f>SUM(G13:J13)</f>
        <v>246.54500000000002</v>
      </c>
      <c r="T13" s="4"/>
      <c r="U13" s="4"/>
    </row>
    <row r="14" spans="1:21" s="2" customFormat="1" x14ac:dyDescent="0.2">
      <c r="B14" s="2" t="s">
        <v>16</v>
      </c>
      <c r="D14" s="2">
        <f>SUM(D11:D13)</f>
        <v>281.45699999999999</v>
      </c>
      <c r="E14" s="2">
        <f>SUM(E11:E13)</f>
        <v>277.04000000000002</v>
      </c>
      <c r="F14" s="2">
        <f>SUM(F11:F13)</f>
        <v>290.15200000000004</v>
      </c>
      <c r="G14" s="2">
        <f>SUM(G11:G13)</f>
        <v>298.13200000000001</v>
      </c>
      <c r="H14" s="2">
        <f t="shared" ref="H14:K14" si="2">SUM(H11:H13)</f>
        <v>317.15800000000002</v>
      </c>
      <c r="I14" s="2">
        <f t="shared" si="2"/>
        <v>320.334</v>
      </c>
      <c r="J14" s="2">
        <f t="shared" si="2"/>
        <v>321.42600000000004</v>
      </c>
      <c r="K14" s="2">
        <f t="shared" si="2"/>
        <v>321.28899999999999</v>
      </c>
      <c r="R14" s="4"/>
      <c r="S14" s="4">
        <f>SUM(S11:S13)</f>
        <v>1257.05</v>
      </c>
      <c r="T14" s="4"/>
      <c r="U14" s="4"/>
    </row>
    <row r="15" spans="1:21" s="2" customFormat="1" x14ac:dyDescent="0.2">
      <c r="B15" s="2" t="s">
        <v>17</v>
      </c>
      <c r="D15" s="2">
        <f>D10-D14</f>
        <v>101.09199999999998</v>
      </c>
      <c r="E15" s="2">
        <f>E10-E14</f>
        <v>121.40399999999994</v>
      </c>
      <c r="F15" s="2">
        <f>F10-F14</f>
        <v>108.923</v>
      </c>
      <c r="G15" s="2">
        <f>G10-G14</f>
        <v>61.53000000000003</v>
      </c>
      <c r="H15" s="2">
        <f t="shared" ref="H15:K15" si="3">H10-H14</f>
        <v>104.04899999999998</v>
      </c>
      <c r="I15" s="2">
        <f t="shared" si="3"/>
        <v>128.48899999999998</v>
      </c>
      <c r="J15" s="2">
        <f t="shared" si="3"/>
        <v>135.26400000000001</v>
      </c>
      <c r="K15" s="2">
        <f t="shared" si="3"/>
        <v>155.17200000000003</v>
      </c>
      <c r="R15" s="4"/>
      <c r="S15" s="4">
        <f>+S10-S14</f>
        <v>429.33200000000011</v>
      </c>
      <c r="T15" s="4"/>
      <c r="U15" s="4"/>
    </row>
    <row r="16" spans="1:21" s="2" customFormat="1" x14ac:dyDescent="0.2">
      <c r="B16" s="2" t="s">
        <v>18</v>
      </c>
      <c r="D16" s="2">
        <v>8.3979999999999997</v>
      </c>
      <c r="E16" s="2">
        <v>12.458</v>
      </c>
      <c r="F16" s="2">
        <v>26.44</v>
      </c>
      <c r="G16" s="2">
        <v>30.248000000000001</v>
      </c>
      <c r="H16" s="2">
        <v>38.826000000000001</v>
      </c>
      <c r="I16" s="2">
        <v>42.186999999999998</v>
      </c>
      <c r="J16" s="2">
        <v>47.429000000000002</v>
      </c>
      <c r="K16" s="2">
        <v>51.728999999999999</v>
      </c>
      <c r="R16" s="4"/>
      <c r="S16" s="4">
        <f>SUM(G16:J16)</f>
        <v>158.69</v>
      </c>
      <c r="T16" s="4"/>
      <c r="U16" s="4"/>
    </row>
    <row r="17" spans="2:21" s="2" customFormat="1" x14ac:dyDescent="0.2">
      <c r="B17" s="2" t="s">
        <v>21</v>
      </c>
      <c r="D17" s="2">
        <f>+D15+D16</f>
        <v>109.48999999999998</v>
      </c>
      <c r="E17" s="2">
        <f>+E15+E16</f>
        <v>133.86199999999994</v>
      </c>
      <c r="F17" s="2">
        <f>+F15+F16</f>
        <v>135.363</v>
      </c>
      <c r="G17" s="2">
        <f>+G15+G16</f>
        <v>91.778000000000034</v>
      </c>
      <c r="H17" s="2">
        <f t="shared" ref="H17:K17" si="4">+H15+H16</f>
        <v>142.87499999999997</v>
      </c>
      <c r="I17" s="2">
        <f t="shared" si="4"/>
        <v>170.67599999999999</v>
      </c>
      <c r="J17" s="2">
        <f t="shared" si="4"/>
        <v>182.69300000000001</v>
      </c>
      <c r="K17" s="2">
        <f t="shared" si="4"/>
        <v>206.90100000000001</v>
      </c>
      <c r="R17" s="4"/>
      <c r="S17" s="4">
        <f>+S15+S16</f>
        <v>588.02200000000016</v>
      </c>
      <c r="T17" s="4"/>
      <c r="U17" s="4"/>
    </row>
    <row r="18" spans="2:21" s="2" customFormat="1" x14ac:dyDescent="0.2">
      <c r="B18" s="2" t="s">
        <v>20</v>
      </c>
      <c r="D18" s="2">
        <v>18.888999999999999</v>
      </c>
      <c r="E18" s="2">
        <v>25.405000000000001</v>
      </c>
      <c r="F18" s="2">
        <v>-53.17</v>
      </c>
      <c r="G18" s="2">
        <v>-39.743000000000002</v>
      </c>
      <c r="H18" s="2">
        <v>31.247</v>
      </c>
      <c r="I18" s="2">
        <v>35.518000000000001</v>
      </c>
      <c r="J18" s="2">
        <v>35.295000000000002</v>
      </c>
      <c r="K18" s="2">
        <v>45.237000000000002</v>
      </c>
      <c r="R18" s="4"/>
      <c r="S18" s="4">
        <f>SUM(G18:J18)</f>
        <v>62.317</v>
      </c>
      <c r="T18" s="4"/>
      <c r="U18" s="4"/>
    </row>
    <row r="19" spans="2:21" s="2" customFormat="1" x14ac:dyDescent="0.2">
      <c r="B19" s="2" t="s">
        <v>19</v>
      </c>
      <c r="D19" s="2">
        <f t="shared" ref="D19:I19" si="5">+D17-D18</f>
        <v>90.600999999999985</v>
      </c>
      <c r="E19" s="2">
        <f t="shared" si="5"/>
        <v>108.45699999999994</v>
      </c>
      <c r="F19" s="2">
        <f t="shared" si="5"/>
        <v>188.53300000000002</v>
      </c>
      <c r="G19" s="2">
        <f t="shared" si="5"/>
        <v>131.52100000000004</v>
      </c>
      <c r="H19" s="2">
        <f t="shared" si="5"/>
        <v>111.62799999999997</v>
      </c>
      <c r="I19" s="2">
        <f t="shared" si="5"/>
        <v>135.15799999999999</v>
      </c>
      <c r="J19" s="2">
        <f>+J17-J18</f>
        <v>147.39800000000002</v>
      </c>
      <c r="K19" s="2">
        <f>+K17-K18</f>
        <v>161.66400000000002</v>
      </c>
      <c r="R19" s="4"/>
      <c r="S19" s="4">
        <f>+S17-S18</f>
        <v>525.70500000000015</v>
      </c>
      <c r="T19" s="4"/>
      <c r="U19" s="4"/>
    </row>
    <row r="20" spans="2:21" x14ac:dyDescent="0.2">
      <c r="B20" s="2" t="s">
        <v>22</v>
      </c>
      <c r="D20" s="1">
        <f t="shared" ref="D20:I20" si="6">+D19/D21</f>
        <v>0.55881010534626097</v>
      </c>
      <c r="E20" s="1">
        <f t="shared" si="6"/>
        <v>0.66827074155087929</v>
      </c>
      <c r="F20" s="1">
        <f t="shared" si="6"/>
        <v>1.1630373093816315</v>
      </c>
      <c r="G20" s="1">
        <f t="shared" si="6"/>
        <v>0.80925541929966005</v>
      </c>
      <c r="H20" s="1">
        <f t="shared" si="6"/>
        <v>0.68364322285098345</v>
      </c>
      <c r="I20" s="1">
        <f t="shared" si="6"/>
        <v>0.82533692393182745</v>
      </c>
      <c r="J20" s="1">
        <f>+J19/J21</f>
        <v>0.89837936015505504</v>
      </c>
      <c r="K20" s="1">
        <f>+K19/K21</f>
        <v>0.98339355450928867</v>
      </c>
    </row>
    <row r="21" spans="2:21" s="2" customFormat="1" x14ac:dyDescent="0.2">
      <c r="B21" s="2" t="s">
        <v>1</v>
      </c>
      <c r="D21" s="2">
        <v>162.13200000000001</v>
      </c>
      <c r="E21" s="2">
        <v>162.29499999999999</v>
      </c>
      <c r="F21" s="2">
        <v>162.10400000000001</v>
      </c>
      <c r="G21" s="2">
        <v>162.52099999999999</v>
      </c>
      <c r="H21" s="2">
        <v>163.28399999999999</v>
      </c>
      <c r="I21" s="2">
        <v>163.761</v>
      </c>
      <c r="J21" s="2">
        <v>164.071</v>
      </c>
      <c r="K21" s="2">
        <v>164.39400000000001</v>
      </c>
      <c r="R21" s="4"/>
      <c r="S21" s="4"/>
      <c r="T21" s="4"/>
      <c r="U21" s="4"/>
    </row>
    <row r="23" spans="2:21" x14ac:dyDescent="0.2">
      <c r="B23" s="2" t="s">
        <v>23</v>
      </c>
      <c r="G23" s="8"/>
      <c r="H23" s="8">
        <f t="shared" ref="H23:J23" si="7">+H8/D8-1</f>
        <v>0.10483922293895009</v>
      </c>
      <c r="I23" s="8">
        <f t="shared" si="7"/>
        <v>0.11614716004859238</v>
      </c>
      <c r="J23" s="8">
        <f t="shared" si="7"/>
        <v>0.11932962837400107</v>
      </c>
      <c r="K23" s="8">
        <f>+K8/G8-1</f>
        <v>0.23563387640716282</v>
      </c>
    </row>
    <row r="24" spans="2:21" x14ac:dyDescent="0.2">
      <c r="B24" s="2" t="s">
        <v>24</v>
      </c>
    </row>
    <row r="27" spans="2:21" s="2" customFormat="1" x14ac:dyDescent="0.2">
      <c r="B27" s="2" t="s">
        <v>3</v>
      </c>
      <c r="J27" s="2">
        <f>703.487+3324.269</f>
        <v>4027.7559999999999</v>
      </c>
      <c r="K27" s="2">
        <f>1197.196+3567.841</f>
        <v>4765.0370000000003</v>
      </c>
      <c r="R27" s="4"/>
      <c r="S27" s="4"/>
      <c r="T27" s="4"/>
      <c r="U27" s="4"/>
    </row>
    <row r="28" spans="2:21" s="2" customFormat="1" x14ac:dyDescent="0.2">
      <c r="B28" s="2" t="s">
        <v>26</v>
      </c>
      <c r="J28" s="2">
        <v>852.17200000000003</v>
      </c>
      <c r="K28" s="2">
        <v>362.32</v>
      </c>
      <c r="R28" s="4"/>
      <c r="S28" s="4"/>
      <c r="T28" s="4"/>
      <c r="U28" s="4"/>
    </row>
    <row r="29" spans="2:21" s="2" customFormat="1" x14ac:dyDescent="0.2">
      <c r="B29" s="2" t="s">
        <v>27</v>
      </c>
      <c r="J29" s="2">
        <v>36.365000000000002</v>
      </c>
      <c r="K29" s="2">
        <v>38.771000000000001</v>
      </c>
      <c r="R29" s="4"/>
      <c r="S29" s="4"/>
      <c r="T29" s="4"/>
      <c r="U29" s="4"/>
    </row>
    <row r="30" spans="2:21" s="2" customFormat="1" x14ac:dyDescent="0.2">
      <c r="B30" s="2" t="s">
        <v>28</v>
      </c>
      <c r="J30" s="2">
        <v>86.918000000000006</v>
      </c>
      <c r="K30" s="2">
        <v>78.819999999999993</v>
      </c>
      <c r="R30" s="4"/>
      <c r="S30" s="4"/>
      <c r="T30" s="4"/>
      <c r="U30" s="4"/>
    </row>
    <row r="31" spans="2:21" s="2" customFormat="1" x14ac:dyDescent="0.2">
      <c r="B31" s="2" t="s">
        <v>29</v>
      </c>
      <c r="J31" s="2">
        <v>58.531999999999996</v>
      </c>
      <c r="K31" s="2">
        <v>58.042000000000002</v>
      </c>
      <c r="R31" s="4"/>
      <c r="S31" s="4"/>
      <c r="T31" s="4"/>
      <c r="U31" s="4"/>
    </row>
    <row r="32" spans="2:21" s="2" customFormat="1" x14ac:dyDescent="0.2">
      <c r="B32" s="2" t="s">
        <v>30</v>
      </c>
      <c r="J32" s="2">
        <v>23.916</v>
      </c>
      <c r="K32" s="2">
        <v>23.966999999999999</v>
      </c>
      <c r="R32" s="4"/>
      <c r="S32" s="4"/>
      <c r="T32" s="4"/>
      <c r="U32" s="4"/>
    </row>
    <row r="33" spans="2:21" s="2" customFormat="1" x14ac:dyDescent="0.2">
      <c r="B33" s="2" t="s">
        <v>31</v>
      </c>
      <c r="J33" s="2">
        <v>45.601999999999997</v>
      </c>
      <c r="K33" s="2">
        <v>44.582999999999998</v>
      </c>
      <c r="R33" s="4"/>
      <c r="S33" s="4"/>
      <c r="T33" s="4"/>
      <c r="U33" s="4"/>
    </row>
    <row r="34" spans="2:21" s="2" customFormat="1" x14ac:dyDescent="0.2">
      <c r="B34" s="2" t="s">
        <v>32</v>
      </c>
      <c r="J34" s="2">
        <f>439.877+63.017</f>
        <v>502.89400000000001</v>
      </c>
      <c r="K34" s="2">
        <f>439.877+58.231</f>
        <v>498.108</v>
      </c>
      <c r="R34" s="4"/>
      <c r="S34" s="4"/>
      <c r="T34" s="4"/>
      <c r="U34" s="4"/>
    </row>
    <row r="35" spans="2:21" s="2" customFormat="1" x14ac:dyDescent="0.2">
      <c r="B35" s="2" t="s">
        <v>33</v>
      </c>
      <c r="J35" s="2">
        <v>233.46299999999999</v>
      </c>
      <c r="K35" s="2">
        <v>266.06</v>
      </c>
      <c r="R35" s="4"/>
      <c r="S35" s="4"/>
      <c r="T35" s="4"/>
      <c r="U35" s="4"/>
    </row>
    <row r="36" spans="2:21" s="2" customFormat="1" x14ac:dyDescent="0.2">
      <c r="B36" s="2" t="s">
        <v>34</v>
      </c>
      <c r="J36" s="2">
        <v>43.302</v>
      </c>
      <c r="K36" s="2">
        <v>51.85</v>
      </c>
      <c r="R36" s="4"/>
      <c r="S36" s="4"/>
      <c r="T36" s="4"/>
      <c r="U36" s="4"/>
    </row>
    <row r="37" spans="2:21" s="2" customFormat="1" x14ac:dyDescent="0.2">
      <c r="B37" s="2" t="s">
        <v>25</v>
      </c>
      <c r="J37" s="2">
        <f>SUM(J27:J36)</f>
        <v>5910.9199999999992</v>
      </c>
      <c r="K37" s="2">
        <f>SUM(K27:K36)</f>
        <v>6187.558</v>
      </c>
      <c r="R37" s="4"/>
      <c r="S37" s="4"/>
      <c r="T37" s="4"/>
      <c r="U37" s="4"/>
    </row>
    <row r="39" spans="2:21" x14ac:dyDescent="0.2">
      <c r="B39" s="2" t="s">
        <v>37</v>
      </c>
      <c r="J39" s="2">
        <v>31.513000000000002</v>
      </c>
      <c r="K39" s="2">
        <v>31.93</v>
      </c>
    </row>
    <row r="40" spans="2:21" x14ac:dyDescent="0.2">
      <c r="B40" s="2" t="s">
        <v>38</v>
      </c>
      <c r="J40" s="2">
        <v>43.433</v>
      </c>
      <c r="K40" s="2">
        <v>38.755000000000003</v>
      </c>
    </row>
    <row r="41" spans="2:21" x14ac:dyDescent="0.2">
      <c r="B41" s="2" t="s">
        <v>39</v>
      </c>
      <c r="J41" s="2">
        <v>32.979999999999997</v>
      </c>
      <c r="K41" s="2">
        <v>41.186999999999998</v>
      </c>
    </row>
    <row r="42" spans="2:21" x14ac:dyDescent="0.2">
      <c r="B42" s="2" t="s">
        <v>20</v>
      </c>
      <c r="J42" s="2">
        <v>11.862</v>
      </c>
      <c r="K42" s="2">
        <f>71.567</f>
        <v>71.566999999999993</v>
      </c>
    </row>
    <row r="43" spans="2:21" x14ac:dyDescent="0.2">
      <c r="B43" s="2" t="s">
        <v>40</v>
      </c>
      <c r="J43" s="2">
        <v>1049.761</v>
      </c>
      <c r="K43" s="2">
        <v>1029.4549999999999</v>
      </c>
    </row>
    <row r="44" spans="2:21" x14ac:dyDescent="0.2">
      <c r="B44" s="2" t="s">
        <v>31</v>
      </c>
      <c r="J44" s="2">
        <f>9.334+46.441</f>
        <v>55.775000000000006</v>
      </c>
      <c r="K44" s="2">
        <f>10.392+45.351</f>
        <v>55.742999999999995</v>
      </c>
    </row>
    <row r="45" spans="2:21" x14ac:dyDescent="0.2">
      <c r="B45" s="2" t="s">
        <v>33</v>
      </c>
      <c r="J45" s="2">
        <v>2.052</v>
      </c>
      <c r="K45" s="2">
        <v>0.70499999999999996</v>
      </c>
    </row>
    <row r="46" spans="2:21" x14ac:dyDescent="0.2">
      <c r="B46" s="2" t="s">
        <v>41</v>
      </c>
      <c r="J46" s="2">
        <v>38.72</v>
      </c>
      <c r="K46" s="2">
        <v>28.835000000000001</v>
      </c>
    </row>
    <row r="47" spans="2:21" x14ac:dyDescent="0.2">
      <c r="B47" t="s">
        <v>35</v>
      </c>
      <c r="J47" s="2">
        <v>4644.8239999999996</v>
      </c>
      <c r="K47" s="2">
        <v>4889.3810000000003</v>
      </c>
    </row>
    <row r="48" spans="2:21" x14ac:dyDescent="0.2">
      <c r="B48" t="s">
        <v>36</v>
      </c>
      <c r="J48" s="2">
        <f>SUM(J39:J47)</f>
        <v>5910.92</v>
      </c>
      <c r="K48" s="2">
        <f>SUM(K39:K47)</f>
        <v>6187.558</v>
      </c>
    </row>
    <row r="50" spans="2:21" s="2" customFormat="1" x14ac:dyDescent="0.2">
      <c r="B50" s="2" t="s">
        <v>43</v>
      </c>
      <c r="J50" s="2">
        <f>+J19</f>
        <v>147.39800000000002</v>
      </c>
      <c r="K50" s="2">
        <f>+K19</f>
        <v>161.66400000000002</v>
      </c>
      <c r="R50" s="4"/>
      <c r="S50" s="4"/>
      <c r="T50" s="4"/>
      <c r="U50" s="4"/>
    </row>
    <row r="51" spans="2:21" s="2" customFormat="1" x14ac:dyDescent="0.2">
      <c r="B51" s="2" t="s">
        <v>44</v>
      </c>
      <c r="J51" s="2">
        <v>147.398</v>
      </c>
      <c r="K51" s="2">
        <v>161.66399999999999</v>
      </c>
      <c r="R51" s="4"/>
      <c r="S51" s="4"/>
      <c r="T51" s="4"/>
      <c r="U51" s="4"/>
    </row>
    <row r="52" spans="2:21" s="2" customFormat="1" x14ac:dyDescent="0.2">
      <c r="B52" s="2" t="s">
        <v>45</v>
      </c>
      <c r="J52" s="2">
        <v>8.6280000000000001</v>
      </c>
      <c r="K52" s="2">
        <v>8.4990000000000006</v>
      </c>
      <c r="R52" s="4"/>
      <c r="S52" s="4"/>
      <c r="T52" s="4"/>
      <c r="U52" s="4"/>
    </row>
    <row r="53" spans="2:21" s="2" customFormat="1" x14ac:dyDescent="0.2">
      <c r="B53" s="2" t="s">
        <v>46</v>
      </c>
      <c r="J53" s="2">
        <v>2.806</v>
      </c>
      <c r="K53" s="2">
        <v>2.7829999999999999</v>
      </c>
      <c r="R53" s="4"/>
      <c r="S53" s="4"/>
      <c r="T53" s="4"/>
      <c r="U53" s="4"/>
    </row>
    <row r="54" spans="2:21" s="2" customFormat="1" x14ac:dyDescent="0.2">
      <c r="B54" s="2" t="s">
        <v>48</v>
      </c>
      <c r="J54" s="2">
        <v>-7.2169999999999996</v>
      </c>
      <c r="K54" s="2">
        <v>-6.1870000000000003</v>
      </c>
      <c r="R54" s="4"/>
      <c r="S54" s="4"/>
      <c r="T54" s="4"/>
      <c r="U54" s="4"/>
    </row>
    <row r="55" spans="2:21" s="2" customFormat="1" x14ac:dyDescent="0.2">
      <c r="B55" s="2" t="s">
        <v>47</v>
      </c>
      <c r="J55" s="2">
        <v>98.893000000000001</v>
      </c>
      <c r="K55" s="2">
        <v>95.911000000000001</v>
      </c>
      <c r="R55" s="4"/>
      <c r="S55" s="4"/>
      <c r="T55" s="4"/>
      <c r="U55" s="4"/>
    </row>
    <row r="56" spans="2:21" s="2" customFormat="1" x14ac:dyDescent="0.2">
      <c r="B56" s="2" t="s">
        <v>48</v>
      </c>
      <c r="J56" s="2">
        <v>5.3339999999999996</v>
      </c>
      <c r="K56" s="2">
        <v>3.8029999999999999</v>
      </c>
      <c r="R56" s="4"/>
      <c r="S56" s="4"/>
      <c r="T56" s="4"/>
      <c r="U56" s="4"/>
    </row>
    <row r="57" spans="2:21" s="2" customFormat="1" x14ac:dyDescent="0.2">
      <c r="B57" s="2" t="s">
        <v>33</v>
      </c>
      <c r="J57" s="2">
        <v>-25.242000000000001</v>
      </c>
      <c r="K57" s="2">
        <v>-26.539000000000001</v>
      </c>
      <c r="R57" s="4"/>
      <c r="S57" s="4"/>
      <c r="T57" s="4"/>
      <c r="U57" s="4"/>
    </row>
    <row r="58" spans="2:21" s="2" customFormat="1" x14ac:dyDescent="0.2">
      <c r="B58" s="2" t="s">
        <v>49</v>
      </c>
      <c r="J58" s="2">
        <v>-1.0629999999999999</v>
      </c>
      <c r="K58" s="2">
        <v>1.0820000000000001</v>
      </c>
      <c r="R58" s="4"/>
      <c r="S58" s="4"/>
      <c r="T58" s="4"/>
      <c r="U58" s="4"/>
    </row>
    <row r="59" spans="2:21" s="2" customFormat="1" x14ac:dyDescent="0.2">
      <c r="B59" s="2" t="s">
        <v>50</v>
      </c>
      <c r="J59" s="2">
        <v>6.3E-2</v>
      </c>
      <c r="K59" s="2">
        <v>-0.152</v>
      </c>
      <c r="R59" s="4"/>
      <c r="S59" s="4"/>
      <c r="T59" s="4"/>
      <c r="U59" s="4"/>
    </row>
    <row r="60" spans="2:21" s="2" customFormat="1" x14ac:dyDescent="0.2">
      <c r="B60" s="2" t="s">
        <v>51</v>
      </c>
      <c r="J60" s="2">
        <f>-596.731+8.472-9.517+7.22-4.728+5.323+5.302+416.284-2.616-0.84</f>
        <v>-171.83100000000002</v>
      </c>
      <c r="K60" s="2">
        <f>490.004-2.406-3.854+8.16+0.28+2.597+59.705-31.292-1.643+1.101</f>
        <v>522.65199999999993</v>
      </c>
      <c r="R60" s="4"/>
      <c r="S60" s="4"/>
      <c r="T60" s="4"/>
      <c r="U60" s="4"/>
    </row>
    <row r="61" spans="2:21" s="2" customFormat="1" x14ac:dyDescent="0.2">
      <c r="B61" s="2" t="s">
        <v>42</v>
      </c>
      <c r="J61" s="2">
        <f>SUM(J51:J60)</f>
        <v>57.769000000000005</v>
      </c>
      <c r="K61" s="2">
        <f>SUM(K51:K60)</f>
        <v>763.51599999999985</v>
      </c>
      <c r="R61" s="4"/>
      <c r="S61" s="4"/>
      <c r="T61" s="4"/>
      <c r="U61" s="4"/>
    </row>
    <row r="63" spans="2:21" x14ac:dyDescent="0.2">
      <c r="B63" s="2" t="s">
        <v>66</v>
      </c>
      <c r="J63" s="2">
        <v>-86.703000000000003</v>
      </c>
      <c r="K63" s="2">
        <v>-272.37799999999999</v>
      </c>
    </row>
    <row r="64" spans="2:21" x14ac:dyDescent="0.2">
      <c r="B64" s="2" t="s">
        <v>65</v>
      </c>
      <c r="J64" s="2">
        <v>-10.484</v>
      </c>
      <c r="K64" s="2">
        <v>3.8279999999999998</v>
      </c>
    </row>
    <row r="65" spans="2:11" x14ac:dyDescent="0.2">
      <c r="B65" s="2" t="s">
        <v>49</v>
      </c>
      <c r="J65" s="2">
        <v>-0.80700000000000005</v>
      </c>
      <c r="K65" s="2">
        <v>-1.2569999999999999</v>
      </c>
    </row>
    <row r="66" spans="2:11" x14ac:dyDescent="0.2">
      <c r="B66" s="2" t="s">
        <v>67</v>
      </c>
      <c r="J66" s="2">
        <f>+J65+J64+J63+J61</f>
        <v>-40.224999999999994</v>
      </c>
      <c r="K66" s="2">
        <f>+K65+K64+K63+K61</f>
        <v>493.70899999999989</v>
      </c>
    </row>
    <row r="72" spans="2:11" x14ac:dyDescent="0.2">
      <c r="B72" t="s">
        <v>83</v>
      </c>
      <c r="I72" s="2"/>
      <c r="J72" s="2">
        <v>1432</v>
      </c>
    </row>
    <row r="73" spans="2:11" x14ac:dyDescent="0.2">
      <c r="I73" s="2"/>
      <c r="J73" s="2"/>
    </row>
    <row r="74" spans="2:11" x14ac:dyDescent="0.2">
      <c r="B74" t="s">
        <v>84</v>
      </c>
      <c r="I74" s="2">
        <f>+J74-428</f>
        <v>6744</v>
      </c>
      <c r="J74" s="2">
        <v>7172</v>
      </c>
    </row>
  </sheetData>
  <hyperlinks>
    <hyperlink ref="A1" location="Main!A1" display="Main" xr:uid="{E22D4A17-A557-4C72-9A73-BD513281324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2022-08-21T06:05:04Z</dcterms:created>
  <dcterms:modified xsi:type="dcterms:W3CDTF">2025-10-16T08:44:36Z</dcterms:modified>
</cp:coreProperties>
</file>