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9E606A4-D293-492A-943C-4449A6A31ACA}" xr6:coauthVersionLast="47" xr6:coauthVersionMax="47" xr10:uidLastSave="{00000000-0000-0000-0000-000000000000}"/>
  <bookViews>
    <workbookView xWindow="9255" yWindow="4845" windowWidth="18075" windowHeight="16020" activeTab="1" xr2:uid="{D878BE86-2F5F-0A4D-A519-F89662502C45}"/>
  </bookViews>
  <sheets>
    <sheet name="Main" sheetId="1" r:id="rId1"/>
    <sheet name="Model" sheetId="3" r:id="rId2"/>
    <sheet name="VK273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I4" i="3"/>
  <c r="I5" i="3" s="1"/>
  <c r="I7" i="3" s="1"/>
  <c r="H4" i="3"/>
  <c r="H5" i="3" s="1"/>
  <c r="H7" i="3" s="1"/>
  <c r="H9" i="3" s="1"/>
  <c r="G4" i="3"/>
  <c r="G5" i="3" s="1"/>
  <c r="G7" i="3" s="1"/>
  <c r="G9" i="3" s="1"/>
  <c r="L3" i="3"/>
  <c r="M3" i="3" s="1"/>
  <c r="N3" i="3" s="1"/>
  <c r="O3" i="3" s="1"/>
  <c r="P3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I8" i="3" l="1"/>
  <c r="I9" i="3" s="1"/>
  <c r="J4" i="3"/>
  <c r="J5" i="3" s="1"/>
  <c r="J7" i="3" s="1"/>
  <c r="K4" i="3"/>
  <c r="K5" i="3" s="1"/>
  <c r="K7" i="3" s="1"/>
  <c r="K8" i="3" l="1"/>
  <c r="K9" i="3" s="1"/>
  <c r="J8" i="3"/>
  <c r="J9" i="3" s="1"/>
  <c r="L4" i="3"/>
  <c r="L5" i="3" s="1"/>
  <c r="L7" i="3" s="1"/>
  <c r="L8" i="3" s="1"/>
  <c r="L9" i="3" s="1"/>
  <c r="M4" i="3" l="1"/>
  <c r="M5" i="3" s="1"/>
  <c r="M7" i="3" s="1"/>
  <c r="M8" i="3" s="1"/>
  <c r="M9" i="3" s="1"/>
  <c r="N4" i="3" l="1"/>
  <c r="N5" i="3" s="1"/>
  <c r="N7" i="3" s="1"/>
  <c r="N8" i="3" s="1"/>
  <c r="N9" i="3" s="1"/>
  <c r="O4" i="3" l="1"/>
  <c r="O5" i="3" s="1"/>
  <c r="O7" i="3" s="1"/>
  <c r="O8" i="3" l="1"/>
  <c r="O9" i="3"/>
  <c r="P4" i="3"/>
  <c r="P5" i="3" s="1"/>
  <c r="P7" i="3" s="1"/>
  <c r="P8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K5" i="1" l="1"/>
  <c r="C11" i="3" s="1"/>
  <c r="C14" i="3" s="1"/>
  <c r="K3" i="1"/>
  <c r="K4" i="1"/>
  <c r="D13" i="2"/>
  <c r="D12" i="2"/>
  <c r="D11" i="2"/>
  <c r="D10" i="2"/>
  <c r="D14" i="2"/>
  <c r="K7" i="1" l="1"/>
</calcChain>
</file>

<file path=xl/sharedStrings.xml><?xml version="1.0" encoding="utf-8"?>
<sst xmlns="http://schemas.openxmlformats.org/spreadsheetml/2006/main" count="63" uniqueCount="51">
  <si>
    <t>Price</t>
  </si>
  <si>
    <t>Shares</t>
  </si>
  <si>
    <t>MC</t>
  </si>
  <si>
    <t>Cash</t>
  </si>
  <si>
    <t>Debt</t>
  </si>
  <si>
    <t>EV</t>
  </si>
  <si>
    <t>Brand</t>
  </si>
  <si>
    <t>VK2735</t>
  </si>
  <si>
    <t>Generic</t>
  </si>
  <si>
    <t>Indication</t>
  </si>
  <si>
    <t>Phase</t>
  </si>
  <si>
    <t>II</t>
  </si>
  <si>
    <t>Economics</t>
  </si>
  <si>
    <t>IP</t>
  </si>
  <si>
    <t>MOA</t>
  </si>
  <si>
    <t>GLP-1/GIP</t>
  </si>
  <si>
    <t>Main</t>
  </si>
  <si>
    <t>Clinical Trials</t>
  </si>
  <si>
    <t>Phase II "VENTURE"</t>
  </si>
  <si>
    <t>Placebo</t>
  </si>
  <si>
    <t>2.5mg</t>
  </si>
  <si>
    <t>5.0mg</t>
  </si>
  <si>
    <t>10mg</t>
  </si>
  <si>
    <t>15mg</t>
  </si>
  <si>
    <t>13 weeks</t>
  </si>
  <si>
    <t>lbs</t>
  </si>
  <si>
    <t>Nausea</t>
  </si>
  <si>
    <t>(68% mild, 32% moderate)</t>
  </si>
  <si>
    <t>Vomiting</t>
  </si>
  <si>
    <t>Q423</t>
  </si>
  <si>
    <t>Phase III "SURMOUNT-1" - Mounjaro vs. placebo in obesity - NEJM 2022 - NCT04184622</t>
  </si>
  <si>
    <t>20 weeks</t>
  </si>
  <si>
    <t>Pooled</t>
  </si>
  <si>
    <t>5mg</t>
  </si>
  <si>
    <t>Molecule</t>
  </si>
  <si>
    <t>Peptide</t>
  </si>
  <si>
    <t>Revenue</t>
  </si>
  <si>
    <t>COGS</t>
  </si>
  <si>
    <t>Gross Profit</t>
  </si>
  <si>
    <t>SG&amp;A</t>
  </si>
  <si>
    <t>Operating Income</t>
  </si>
  <si>
    <t>Taxes</t>
  </si>
  <si>
    <t>Net Income</t>
  </si>
  <si>
    <t>Phase II</t>
  </si>
  <si>
    <t>Phase III</t>
  </si>
  <si>
    <t>Approval</t>
  </si>
  <si>
    <t>NPV</t>
  </si>
  <si>
    <t>Discount</t>
  </si>
  <si>
    <t>Maturity</t>
  </si>
  <si>
    <t>Share</t>
  </si>
  <si>
    <t>Obesity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</si>
</sst>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1" fillId="0" borderId="0" xfId="0" applyNumberFormat="1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056E29-18B3-4CCA-AB49-400B65BE6E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3CA5-3820-9A43-941C-559CF5F28934}">
  <dimension ref="B2:L9"/>
  <sheetViews>
    <sheetView zoomScaleNormal="100" workbookViewId="0">
      <selection activeCell="D8" sqref="D8"/>
    </sheetView>
  </sheetViews>
  <sheetFormatPr defaultColWidth="11" defaultRowHeight="12.75" x14ac:dyDescent="0.2"/>
  <cols>
    <col min="1" max="1" width="3.375" style="1" customWidth="1"/>
    <col min="2" max="3" width="11" style="1"/>
    <col min="4" max="4" width="13" style="1" customWidth="1"/>
    <col min="5" max="9" width="11" style="1"/>
    <col min="10" max="10" width="8.25" style="1" customWidth="1"/>
    <col min="11" max="12" width="8.375" style="1" customWidth="1"/>
    <col min="13" max="16384" width="11" style="1"/>
  </cols>
  <sheetData>
    <row r="2" spans="2:12" x14ac:dyDescent="0.2">
      <c r="B2" s="11" t="s">
        <v>6</v>
      </c>
      <c r="C2" s="12" t="s">
        <v>8</v>
      </c>
      <c r="D2" s="12" t="s">
        <v>9</v>
      </c>
      <c r="E2" s="12" t="s">
        <v>10</v>
      </c>
      <c r="F2" s="12" t="s">
        <v>14</v>
      </c>
      <c r="G2" s="12" t="s">
        <v>12</v>
      </c>
      <c r="H2" s="13" t="s">
        <v>13</v>
      </c>
      <c r="J2" s="1" t="s">
        <v>0</v>
      </c>
      <c r="K2" s="14">
        <v>64</v>
      </c>
    </row>
    <row r="3" spans="2:12" x14ac:dyDescent="0.2">
      <c r="B3" s="15" t="s">
        <v>7</v>
      </c>
      <c r="D3" s="20" t="s">
        <v>50</v>
      </c>
      <c r="E3" s="1" t="s">
        <v>11</v>
      </c>
      <c r="F3" s="1" t="s">
        <v>15</v>
      </c>
      <c r="H3" s="16"/>
      <c r="J3" s="1" t="s">
        <v>1</v>
      </c>
      <c r="K3" s="1">
        <f>100+4</f>
        <v>104</v>
      </c>
      <c r="L3" s="2" t="s">
        <v>29</v>
      </c>
    </row>
    <row r="4" spans="2:12" x14ac:dyDescent="0.2">
      <c r="B4" s="15"/>
      <c r="H4" s="16"/>
      <c r="J4" s="1" t="s">
        <v>2</v>
      </c>
      <c r="K4" s="6">
        <f>+K2*K3</f>
        <v>6656</v>
      </c>
    </row>
    <row r="5" spans="2:12" x14ac:dyDescent="0.2">
      <c r="B5" s="15"/>
      <c r="H5" s="16"/>
      <c r="J5" s="1" t="s">
        <v>3</v>
      </c>
      <c r="K5" s="1">
        <f>361+350</f>
        <v>711</v>
      </c>
      <c r="L5" s="2" t="s">
        <v>29</v>
      </c>
    </row>
    <row r="6" spans="2:12" x14ac:dyDescent="0.2">
      <c r="B6" s="15"/>
      <c r="H6" s="16"/>
      <c r="J6" s="1" t="s">
        <v>4</v>
      </c>
      <c r="K6" s="1">
        <v>0</v>
      </c>
      <c r="L6" s="2" t="s">
        <v>29</v>
      </c>
    </row>
    <row r="7" spans="2:12" x14ac:dyDescent="0.2">
      <c r="B7" s="15"/>
      <c r="H7" s="16"/>
      <c r="J7" s="1" t="s">
        <v>5</v>
      </c>
      <c r="K7" s="6">
        <f>+K4-K5+K6</f>
        <v>5945</v>
      </c>
    </row>
    <row r="8" spans="2:12" x14ac:dyDescent="0.2">
      <c r="B8" s="15"/>
      <c r="H8" s="16"/>
    </row>
    <row r="9" spans="2:12" x14ac:dyDescent="0.2">
      <c r="B9" s="17"/>
      <c r="C9" s="18"/>
      <c r="D9" s="18"/>
      <c r="E9" s="18"/>
      <c r="F9" s="18"/>
      <c r="G9" s="18"/>
      <c r="H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A437-81C4-AF4A-A9DD-BDF3BE4300E7}">
  <dimension ref="A1:BD1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ColWidth="11" defaultRowHeight="12.75" x14ac:dyDescent="0.2"/>
  <cols>
    <col min="1" max="1" width="5.125" style="1" bestFit="1" customWidth="1"/>
    <col min="2" max="2" width="15.5" style="1" bestFit="1" customWidth="1"/>
    <col min="3" max="5" width="10.875" style="2"/>
    <col min="6" max="16384" width="11" style="1"/>
  </cols>
  <sheetData>
    <row r="1" spans="1:56" x14ac:dyDescent="0.2">
      <c r="A1" s="10" t="s">
        <v>16</v>
      </c>
    </row>
    <row r="2" spans="1:56" x14ac:dyDescent="0.2">
      <c r="C2" s="2">
        <v>2024</v>
      </c>
      <c r="D2" s="2">
        <f>+C2+1</f>
        <v>2025</v>
      </c>
      <c r="E2" s="2">
        <f t="shared" ref="E2:Q2" si="0">+D2+1</f>
        <v>2026</v>
      </c>
      <c r="F2" s="1">
        <f t="shared" si="0"/>
        <v>2027</v>
      </c>
      <c r="G2" s="1">
        <f t="shared" si="0"/>
        <v>2028</v>
      </c>
      <c r="H2" s="1">
        <f t="shared" si="0"/>
        <v>2029</v>
      </c>
      <c r="I2" s="1">
        <f t="shared" si="0"/>
        <v>2030</v>
      </c>
      <c r="J2" s="1">
        <f t="shared" si="0"/>
        <v>2031</v>
      </c>
      <c r="K2" s="1">
        <f t="shared" si="0"/>
        <v>2032</v>
      </c>
      <c r="L2" s="1">
        <f t="shared" si="0"/>
        <v>2033</v>
      </c>
      <c r="M2" s="1">
        <f t="shared" si="0"/>
        <v>2034</v>
      </c>
      <c r="N2" s="1">
        <f t="shared" si="0"/>
        <v>2035</v>
      </c>
      <c r="O2" s="1">
        <f t="shared" si="0"/>
        <v>2036</v>
      </c>
      <c r="P2" s="1">
        <f t="shared" si="0"/>
        <v>2037</v>
      </c>
      <c r="Q2" s="1">
        <f t="shared" si="0"/>
        <v>2038</v>
      </c>
    </row>
    <row r="3" spans="1:56" s="3" customFormat="1" x14ac:dyDescent="0.2">
      <c r="B3" s="3" t="s">
        <v>36</v>
      </c>
      <c r="C3" s="4" t="s">
        <v>43</v>
      </c>
      <c r="D3" s="4" t="s">
        <v>44</v>
      </c>
      <c r="E3" s="4" t="s">
        <v>44</v>
      </c>
      <c r="F3" s="4" t="s">
        <v>45</v>
      </c>
      <c r="G3" s="5">
        <v>800</v>
      </c>
      <c r="H3" s="5">
        <v>2500</v>
      </c>
      <c r="I3" s="5">
        <v>5500</v>
      </c>
      <c r="J3" s="5">
        <v>7000</v>
      </c>
      <c r="K3" s="5">
        <v>9000</v>
      </c>
      <c r="L3" s="5">
        <f>+K3*1.05</f>
        <v>9450</v>
      </c>
      <c r="M3" s="5">
        <f t="shared" ref="M3:P3" si="1">+L3*1.05</f>
        <v>9922.5</v>
      </c>
      <c r="N3" s="5">
        <f t="shared" si="1"/>
        <v>10418.625</v>
      </c>
      <c r="O3" s="5">
        <f t="shared" si="1"/>
        <v>10939.55625</v>
      </c>
      <c r="P3" s="5">
        <f t="shared" si="1"/>
        <v>11486.534062500001</v>
      </c>
    </row>
    <row r="4" spans="1:56" x14ac:dyDescent="0.2">
      <c r="B4" s="1" t="s">
        <v>37</v>
      </c>
      <c r="G4" s="1">
        <f>+G3*0.2</f>
        <v>160</v>
      </c>
      <c r="H4" s="6">
        <f t="shared" ref="H4:J4" si="2">+H3*0.2</f>
        <v>500</v>
      </c>
      <c r="I4" s="6">
        <f t="shared" si="2"/>
        <v>1100</v>
      </c>
      <c r="J4" s="6">
        <f t="shared" si="2"/>
        <v>1400</v>
      </c>
      <c r="K4" s="6">
        <f t="shared" ref="K4" si="3">+K3*0.2</f>
        <v>1800</v>
      </c>
      <c r="L4" s="6">
        <f t="shared" ref="L4" si="4">+L3*0.2</f>
        <v>1890</v>
      </c>
      <c r="M4" s="6">
        <f t="shared" ref="M4" si="5">+M3*0.2</f>
        <v>1984.5</v>
      </c>
      <c r="N4" s="6">
        <f t="shared" ref="N4" si="6">+N3*0.2</f>
        <v>2083.7249999999999</v>
      </c>
      <c r="O4" s="6">
        <f t="shared" ref="O4" si="7">+O3*0.2</f>
        <v>2187.9112500000001</v>
      </c>
      <c r="P4" s="6">
        <f t="shared" ref="P4" si="8">+P3*0.2</f>
        <v>2297.3068125000004</v>
      </c>
    </row>
    <row r="5" spans="1:56" x14ac:dyDescent="0.2">
      <c r="B5" s="1" t="s">
        <v>38</v>
      </c>
      <c r="G5" s="6">
        <f>+G3-G4</f>
        <v>640</v>
      </c>
      <c r="H5" s="6">
        <f t="shared" ref="H5:J5" si="9">+H3-H4</f>
        <v>2000</v>
      </c>
      <c r="I5" s="6">
        <f t="shared" si="9"/>
        <v>4400</v>
      </c>
      <c r="J5" s="6">
        <f t="shared" si="9"/>
        <v>5600</v>
      </c>
      <c r="K5" s="6">
        <f t="shared" ref="K5" si="10">+K3-K4</f>
        <v>7200</v>
      </c>
      <c r="L5" s="6">
        <f t="shared" ref="L5" si="11">+L3-L4</f>
        <v>7560</v>
      </c>
      <c r="M5" s="6">
        <f t="shared" ref="M5" si="12">+M3-M4</f>
        <v>7938</v>
      </c>
      <c r="N5" s="6">
        <f t="shared" ref="N5" si="13">+N3-N4</f>
        <v>8334.9</v>
      </c>
      <c r="O5" s="6">
        <f t="shared" ref="O5" si="14">+O3-O4</f>
        <v>8751.6450000000004</v>
      </c>
      <c r="P5" s="6">
        <f t="shared" ref="P5" si="15">+P3-P4</f>
        <v>9189.2272499999999</v>
      </c>
    </row>
    <row r="6" spans="1:56" x14ac:dyDescent="0.2">
      <c r="B6" s="1" t="s">
        <v>39</v>
      </c>
      <c r="G6" s="6">
        <v>2000</v>
      </c>
      <c r="H6" s="6">
        <v>1500</v>
      </c>
      <c r="I6" s="6">
        <v>1000</v>
      </c>
      <c r="J6" s="6">
        <v>1000</v>
      </c>
      <c r="K6" s="6">
        <v>1000</v>
      </c>
      <c r="L6" s="6">
        <v>1000</v>
      </c>
      <c r="M6" s="6">
        <v>1000</v>
      </c>
      <c r="N6" s="6">
        <v>1000</v>
      </c>
      <c r="O6" s="6">
        <v>1000</v>
      </c>
      <c r="P6" s="6">
        <v>1000</v>
      </c>
    </row>
    <row r="7" spans="1:56" x14ac:dyDescent="0.2">
      <c r="B7" s="1" t="s">
        <v>40</v>
      </c>
      <c r="C7" s="1">
        <v>-500</v>
      </c>
      <c r="D7" s="1">
        <v>-500</v>
      </c>
      <c r="E7" s="1">
        <v>-500</v>
      </c>
      <c r="F7" s="1">
        <v>-500</v>
      </c>
      <c r="G7" s="6">
        <f>+G5-G6</f>
        <v>-1360</v>
      </c>
      <c r="H7" s="6">
        <f t="shared" ref="H7:P7" si="16">+H5-H6</f>
        <v>500</v>
      </c>
      <c r="I7" s="6">
        <f t="shared" si="16"/>
        <v>3400</v>
      </c>
      <c r="J7" s="6">
        <f t="shared" si="16"/>
        <v>4600</v>
      </c>
      <c r="K7" s="6">
        <f t="shared" si="16"/>
        <v>6200</v>
      </c>
      <c r="L7" s="6">
        <f t="shared" si="16"/>
        <v>6560</v>
      </c>
      <c r="M7" s="6">
        <f t="shared" si="16"/>
        <v>6938</v>
      </c>
      <c r="N7" s="6">
        <f t="shared" si="16"/>
        <v>7334.9</v>
      </c>
      <c r="O7" s="6">
        <f t="shared" si="16"/>
        <v>7751.6450000000004</v>
      </c>
      <c r="P7" s="6">
        <f t="shared" si="16"/>
        <v>8189.2272499999999</v>
      </c>
    </row>
    <row r="8" spans="1:56" x14ac:dyDescent="0.2">
      <c r="B8" s="1" t="s">
        <v>41</v>
      </c>
      <c r="C8" s="7"/>
      <c r="D8" s="7"/>
      <c r="E8" s="7"/>
      <c r="F8" s="6"/>
      <c r="G8" s="6"/>
      <c r="H8" s="6">
        <v>0</v>
      </c>
      <c r="I8" s="6">
        <f>+I7*0.1</f>
        <v>340</v>
      </c>
      <c r="J8" s="6">
        <f>+J7*0.2</f>
        <v>920</v>
      </c>
      <c r="K8" s="6">
        <f t="shared" ref="K8:P8" si="17">+K7*0.2</f>
        <v>1240</v>
      </c>
      <c r="L8" s="6">
        <f t="shared" si="17"/>
        <v>1312</v>
      </c>
      <c r="M8" s="6">
        <f t="shared" si="17"/>
        <v>1387.6000000000001</v>
      </c>
      <c r="N8" s="6">
        <f t="shared" si="17"/>
        <v>1466.98</v>
      </c>
      <c r="O8" s="6">
        <f t="shared" si="17"/>
        <v>1550.3290000000002</v>
      </c>
      <c r="P8" s="6">
        <f t="shared" si="17"/>
        <v>1637.84545</v>
      </c>
    </row>
    <row r="9" spans="1:56" x14ac:dyDescent="0.2">
      <c r="B9" s="1" t="s">
        <v>42</v>
      </c>
      <c r="C9" s="7">
        <f>+C7-C8</f>
        <v>-500</v>
      </c>
      <c r="D9" s="7">
        <f t="shared" ref="D9:P9" si="18">+D7-D8</f>
        <v>-500</v>
      </c>
      <c r="E9" s="7">
        <f t="shared" si="18"/>
        <v>-500</v>
      </c>
      <c r="F9" s="7">
        <f t="shared" si="18"/>
        <v>-500</v>
      </c>
      <c r="G9" s="7">
        <f t="shared" si="18"/>
        <v>-1360</v>
      </c>
      <c r="H9" s="7">
        <f t="shared" si="18"/>
        <v>500</v>
      </c>
      <c r="I9" s="7">
        <f t="shared" si="18"/>
        <v>3060</v>
      </c>
      <c r="J9" s="7">
        <f t="shared" si="18"/>
        <v>3680</v>
      </c>
      <c r="K9" s="7">
        <f t="shared" si="18"/>
        <v>4960</v>
      </c>
      <c r="L9" s="7">
        <f t="shared" si="18"/>
        <v>5248</v>
      </c>
      <c r="M9" s="7">
        <f t="shared" si="18"/>
        <v>5550.4</v>
      </c>
      <c r="N9" s="7">
        <f t="shared" si="18"/>
        <v>5867.92</v>
      </c>
      <c r="O9" s="7">
        <f t="shared" si="18"/>
        <v>6201.3160000000007</v>
      </c>
      <c r="P9" s="7">
        <f t="shared" si="18"/>
        <v>6551.3818000000001</v>
      </c>
      <c r="Q9" s="7">
        <f>+P9*(1+$C$13)</f>
        <v>6223.8127100000002</v>
      </c>
      <c r="R9" s="7">
        <f t="shared" ref="R9:BD9" si="19">+Q9*(1+$C$13)</f>
        <v>5912.6220745000001</v>
      </c>
      <c r="S9" s="7">
        <f t="shared" si="19"/>
        <v>5616.9909707749994</v>
      </c>
      <c r="T9" s="7">
        <f t="shared" si="19"/>
        <v>5336.1414222362491</v>
      </c>
      <c r="U9" s="7">
        <f t="shared" si="19"/>
        <v>5069.3343511244366</v>
      </c>
      <c r="V9" s="7">
        <f t="shared" si="19"/>
        <v>4815.8676335682148</v>
      </c>
      <c r="W9" s="7">
        <f t="shared" si="19"/>
        <v>4575.0742518898041</v>
      </c>
      <c r="X9" s="7">
        <f t="shared" si="19"/>
        <v>4346.3205392953141</v>
      </c>
      <c r="Y9" s="7">
        <f t="shared" si="19"/>
        <v>4129.0045123305481</v>
      </c>
      <c r="Z9" s="7">
        <f t="shared" si="19"/>
        <v>3922.5542867140207</v>
      </c>
      <c r="AA9" s="7">
        <f t="shared" si="19"/>
        <v>3726.4265723783196</v>
      </c>
      <c r="AB9" s="7">
        <f t="shared" si="19"/>
        <v>3540.1052437594035</v>
      </c>
      <c r="AC9" s="7">
        <f t="shared" si="19"/>
        <v>3363.0999815714331</v>
      </c>
      <c r="AD9" s="7">
        <f t="shared" si="19"/>
        <v>3194.9449824928611</v>
      </c>
      <c r="AE9" s="7">
        <f t="shared" si="19"/>
        <v>3035.197733368218</v>
      </c>
      <c r="AF9" s="7">
        <f t="shared" si="19"/>
        <v>2883.4378466998069</v>
      </c>
      <c r="AG9" s="7">
        <f t="shared" si="19"/>
        <v>2739.2659543648165</v>
      </c>
      <c r="AH9" s="7">
        <f t="shared" si="19"/>
        <v>2602.3026566465755</v>
      </c>
      <c r="AI9" s="7">
        <f t="shared" si="19"/>
        <v>2472.1875238142466</v>
      </c>
      <c r="AJ9" s="7">
        <f t="shared" si="19"/>
        <v>2348.5781476235343</v>
      </c>
      <c r="AK9" s="7">
        <f t="shared" si="19"/>
        <v>2231.1492402423573</v>
      </c>
      <c r="AL9" s="7">
        <f t="shared" si="19"/>
        <v>2119.5917782302395</v>
      </c>
      <c r="AM9" s="7">
        <f t="shared" si="19"/>
        <v>2013.6121893187274</v>
      </c>
      <c r="AN9" s="7">
        <f t="shared" si="19"/>
        <v>1912.9315798527909</v>
      </c>
      <c r="AO9" s="7">
        <f t="shared" si="19"/>
        <v>1817.2850008601513</v>
      </c>
      <c r="AP9" s="7">
        <f t="shared" si="19"/>
        <v>1726.4207508171437</v>
      </c>
      <c r="AQ9" s="7">
        <f t="shared" si="19"/>
        <v>1640.0997132762864</v>
      </c>
      <c r="AR9" s="7">
        <f t="shared" si="19"/>
        <v>1558.0947276124721</v>
      </c>
      <c r="AS9" s="7">
        <f t="shared" si="19"/>
        <v>1480.1899912318484</v>
      </c>
      <c r="AT9" s="7">
        <f t="shared" si="19"/>
        <v>1406.1804916702558</v>
      </c>
      <c r="AU9" s="7">
        <f t="shared" si="19"/>
        <v>1335.871467086743</v>
      </c>
      <c r="AV9" s="7">
        <f t="shared" si="19"/>
        <v>1269.0778937324058</v>
      </c>
      <c r="AW9" s="7">
        <f t="shared" si="19"/>
        <v>1205.6239990457855</v>
      </c>
      <c r="AX9" s="7">
        <f t="shared" si="19"/>
        <v>1145.3427990934961</v>
      </c>
      <c r="AY9" s="7">
        <f t="shared" si="19"/>
        <v>1088.0756591388213</v>
      </c>
      <c r="AZ9" s="7">
        <f t="shared" si="19"/>
        <v>1033.6718761818802</v>
      </c>
      <c r="BA9" s="7">
        <f t="shared" si="19"/>
        <v>981.9882823727861</v>
      </c>
      <c r="BB9" s="7">
        <f t="shared" si="19"/>
        <v>932.8888682541467</v>
      </c>
      <c r="BC9" s="7">
        <f t="shared" si="19"/>
        <v>886.24442484143935</v>
      </c>
      <c r="BD9" s="7">
        <f t="shared" si="19"/>
        <v>841.93220359936731</v>
      </c>
    </row>
    <row r="11" spans="1:56" x14ac:dyDescent="0.2">
      <c r="B11" s="1" t="s">
        <v>46</v>
      </c>
      <c r="C11" s="7">
        <f>NPV(C12,C9:DP9)+Main!K5-Main!K6</f>
        <v>24209.42128016358</v>
      </c>
    </row>
    <row r="12" spans="1:56" x14ac:dyDescent="0.2">
      <c r="B12" s="1" t="s">
        <v>47</v>
      </c>
      <c r="C12" s="8">
        <v>0.1</v>
      </c>
    </row>
    <row r="13" spans="1:56" x14ac:dyDescent="0.2">
      <c r="B13" s="1" t="s">
        <v>48</v>
      </c>
      <c r="C13" s="8">
        <v>-0.05</v>
      </c>
    </row>
    <row r="14" spans="1:56" x14ac:dyDescent="0.2">
      <c r="B14" s="1" t="s">
        <v>49</v>
      </c>
      <c r="C14" s="9">
        <f>+C11/Main!K3</f>
        <v>232.7828969246498</v>
      </c>
    </row>
  </sheetData>
  <hyperlinks>
    <hyperlink ref="A1" location="Main!A1" display="Main" xr:uid="{67F4F692-AAE8-42BB-8401-02E8E9ED07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D612-CA62-7245-A7A4-8AA6A7D65875}">
  <dimension ref="A1:E25"/>
  <sheetViews>
    <sheetView zoomScaleNormal="100" workbookViewId="0">
      <selection activeCell="C17" sqref="C17"/>
    </sheetView>
  </sheetViews>
  <sheetFormatPr defaultColWidth="11" defaultRowHeight="12.75" x14ac:dyDescent="0.2"/>
  <cols>
    <col min="1" max="1" width="5.125" style="20" bestFit="1" customWidth="1"/>
    <col min="2" max="2" width="12.125" style="20" bestFit="1" customWidth="1"/>
    <col min="3" max="16384" width="11" style="20"/>
  </cols>
  <sheetData>
    <row r="1" spans="1:5" x14ac:dyDescent="0.2">
      <c r="A1" s="10" t="s">
        <v>16</v>
      </c>
    </row>
    <row r="2" spans="1:5" x14ac:dyDescent="0.2">
      <c r="B2" s="20" t="s">
        <v>6</v>
      </c>
      <c r="C2" s="20" t="s">
        <v>7</v>
      </c>
    </row>
    <row r="3" spans="1:5" x14ac:dyDescent="0.2">
      <c r="B3" s="20" t="s">
        <v>34</v>
      </c>
      <c r="C3" s="20" t="s">
        <v>35</v>
      </c>
    </row>
    <row r="4" spans="1:5" x14ac:dyDescent="0.2">
      <c r="C4" s="21"/>
    </row>
    <row r="6" spans="1:5" x14ac:dyDescent="0.2">
      <c r="B6" s="22" t="s">
        <v>17</v>
      </c>
    </row>
    <row r="8" spans="1:5" x14ac:dyDescent="0.2">
      <c r="B8" s="3" t="s">
        <v>18</v>
      </c>
    </row>
    <row r="9" spans="1:5" x14ac:dyDescent="0.2">
      <c r="C9" s="23" t="s">
        <v>24</v>
      </c>
      <c r="D9" s="23" t="s">
        <v>25</v>
      </c>
      <c r="E9" s="20" t="s">
        <v>28</v>
      </c>
    </row>
    <row r="10" spans="1:5" x14ac:dyDescent="0.2">
      <c r="B10" s="20" t="s">
        <v>19</v>
      </c>
      <c r="C10" s="20">
        <v>-1.8</v>
      </c>
      <c r="D10" s="24">
        <f t="shared" ref="D10:D13" si="0">+C10*2.2</f>
        <v>-3.9600000000000004</v>
      </c>
      <c r="E10" s="25">
        <v>0</v>
      </c>
    </row>
    <row r="11" spans="1:5" x14ac:dyDescent="0.2">
      <c r="B11" s="20" t="s">
        <v>20</v>
      </c>
      <c r="C11" s="20">
        <v>-9.1999999999999993</v>
      </c>
      <c r="D11" s="24">
        <f t="shared" si="0"/>
        <v>-20.239999999999998</v>
      </c>
      <c r="E11" s="25">
        <v>0.09</v>
      </c>
    </row>
    <row r="12" spans="1:5" x14ac:dyDescent="0.2">
      <c r="B12" s="20" t="s">
        <v>21</v>
      </c>
      <c r="C12" s="20">
        <v>-10.7</v>
      </c>
      <c r="D12" s="24">
        <f t="shared" si="0"/>
        <v>-23.54</v>
      </c>
      <c r="E12" s="25">
        <v>0.17</v>
      </c>
    </row>
    <row r="13" spans="1:5" x14ac:dyDescent="0.2">
      <c r="B13" s="20" t="s">
        <v>22</v>
      </c>
      <c r="C13" s="20">
        <v>-13.3</v>
      </c>
      <c r="D13" s="24">
        <f t="shared" si="0"/>
        <v>-29.260000000000005</v>
      </c>
      <c r="E13" s="25">
        <v>0.17</v>
      </c>
    </row>
    <row r="14" spans="1:5" x14ac:dyDescent="0.2">
      <c r="B14" s="3" t="s">
        <v>23</v>
      </c>
      <c r="C14" s="3">
        <v>-14.6</v>
      </c>
      <c r="D14" s="26">
        <f>+C14*2.2</f>
        <v>-32.120000000000005</v>
      </c>
      <c r="E14" s="25">
        <v>0.28999999999999998</v>
      </c>
    </row>
    <row r="16" spans="1:5" x14ac:dyDescent="0.2">
      <c r="B16" s="20" t="s">
        <v>26</v>
      </c>
      <c r="C16" s="25">
        <v>0.43</v>
      </c>
      <c r="D16" s="20" t="s">
        <v>27</v>
      </c>
    </row>
    <row r="17" spans="2:5" x14ac:dyDescent="0.2">
      <c r="B17" s="20" t="s">
        <v>28</v>
      </c>
      <c r="C17" s="25">
        <v>0.18</v>
      </c>
    </row>
    <row r="19" spans="2:5" x14ac:dyDescent="0.2">
      <c r="B19" s="3" t="s">
        <v>30</v>
      </c>
    </row>
    <row r="20" spans="2:5" x14ac:dyDescent="0.2">
      <c r="C20" s="23" t="s">
        <v>31</v>
      </c>
      <c r="D20" s="20" t="s">
        <v>26</v>
      </c>
      <c r="E20" s="20" t="s">
        <v>28</v>
      </c>
    </row>
    <row r="21" spans="2:5" x14ac:dyDescent="0.2">
      <c r="B21" s="20" t="s">
        <v>32</v>
      </c>
      <c r="C21" s="4">
        <v>-12.8</v>
      </c>
    </row>
    <row r="22" spans="2:5" x14ac:dyDescent="0.2">
      <c r="B22" s="20" t="s">
        <v>19</v>
      </c>
      <c r="C22" s="23">
        <v>-2.7</v>
      </c>
    </row>
    <row r="23" spans="2:5" x14ac:dyDescent="0.2">
      <c r="B23" s="20" t="s">
        <v>33</v>
      </c>
      <c r="D23" s="25">
        <v>0.25</v>
      </c>
      <c r="E23" s="25">
        <v>0.08</v>
      </c>
    </row>
    <row r="24" spans="2:5" x14ac:dyDescent="0.2">
      <c r="B24" s="20" t="s">
        <v>22</v>
      </c>
      <c r="D24" s="25">
        <v>0.33</v>
      </c>
      <c r="E24" s="25">
        <v>0.11</v>
      </c>
    </row>
    <row r="25" spans="2:5" x14ac:dyDescent="0.2">
      <c r="B25" s="20" t="s">
        <v>23</v>
      </c>
      <c r="D25" s="25">
        <v>0.31</v>
      </c>
      <c r="E25" s="25">
        <v>0.12</v>
      </c>
    </row>
  </sheetData>
  <hyperlinks>
    <hyperlink ref="A1" location="Main!A1" display="Main" xr:uid="{83936872-AF34-2045-A20C-1B323C64D7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VK2735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2024-02-28T02:22:28Z</dcterms:created>
  <dcterms:modified xsi:type="dcterms:W3CDTF">2025-10-16T15:59:59Z</dcterms:modified>
</cp:coreProperties>
</file>