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0C7EB24F-A28A-4EC4-B173-1E774CFFEB56}" xr6:coauthVersionLast="47" xr6:coauthVersionMax="47" xr10:uidLastSave="{00000000-0000-0000-0000-000000000000}"/>
  <bookViews>
    <workbookView xWindow="7455" yWindow="2715" windowWidth="18075" windowHeight="16020" activeTab="1" xr2:uid="{813BBC27-F478-46C7-9133-423B20FE42FB}"/>
  </bookViews>
  <sheets>
    <sheet name="Main" sheetId="1" r:id="rId1"/>
    <sheet name="Model" sheetId="2" r:id="rId2"/>
  </sheets>
  <externalReferences>
    <externalReference r:id="rId3"/>
    <externalReference r:id="rId4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_0EBITDA_Sh">#REF!</definedName>
    <definedName name="_2_0NOPAT_Sh">#REF!</definedName>
    <definedName name="_3_._0Gross_inc_gro">#REF!</definedName>
    <definedName name="_4_._0Restructuring_char">#REF!</definedName>
    <definedName name="_5_._0SGA_gro">#REF!</definedName>
    <definedName name="_6_._0Shares_repurchase_liabil">#REF!</definedName>
    <definedName name="_7_3_0Income_before_ta">#REF!</definedName>
    <definedName name="_8_3_0Increase_in_other_liabilit">#REF!</definedName>
    <definedName name="_9_3_0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6" i="2" l="1"/>
  <c r="AK46" i="2"/>
  <c r="AL35" i="2"/>
  <c r="AL36" i="2" s="1"/>
  <c r="AL38" i="2" s="1"/>
  <c r="AL40" i="2" s="1"/>
  <c r="AL41" i="2" s="1"/>
  <c r="AK35" i="2"/>
  <c r="AK36" i="2" s="1"/>
  <c r="AK38" i="2" s="1"/>
  <c r="AK40" i="2" s="1"/>
  <c r="AK41" i="2" s="1"/>
  <c r="AL32" i="2"/>
  <c r="AK32" i="2"/>
  <c r="V82" i="2"/>
  <c r="U82" i="2"/>
  <c r="T82" i="2"/>
  <c r="S82" i="2"/>
  <c r="R82" i="2"/>
  <c r="Q82" i="2"/>
  <c r="P82" i="2"/>
  <c r="W81" i="2"/>
  <c r="W82" i="2" s="1"/>
  <c r="W79" i="2"/>
  <c r="V73" i="2"/>
  <c r="U73" i="2"/>
  <c r="T73" i="2"/>
  <c r="S73" i="2"/>
  <c r="R73" i="2"/>
  <c r="Q73" i="2"/>
  <c r="P73" i="2"/>
  <c r="W73" i="2"/>
  <c r="W62" i="2"/>
  <c r="W61" i="2"/>
  <c r="W68" i="2"/>
  <c r="W58" i="2"/>
  <c r="W55" i="2"/>
  <c r="AL30" i="2"/>
  <c r="AK30" i="2"/>
  <c r="AL45" i="2" s="1"/>
  <c r="AL29" i="2"/>
  <c r="AL28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0" i="2"/>
  <c r="AL9" i="2"/>
  <c r="AL8" i="2"/>
  <c r="AL7" i="2"/>
  <c r="Z34" i="2"/>
  <c r="Y34" i="2"/>
  <c r="X34" i="2"/>
  <c r="Z33" i="2"/>
  <c r="Y33" i="2"/>
  <c r="X33" i="2"/>
  <c r="Z42" i="2"/>
  <c r="Y42" i="2"/>
  <c r="X42" i="2"/>
  <c r="Z37" i="2"/>
  <c r="Y37" i="2"/>
  <c r="X37" i="2"/>
  <c r="W36" i="2"/>
  <c r="Z35" i="2"/>
  <c r="Z36" i="2" s="1"/>
  <c r="Z38" i="2" s="1"/>
  <c r="Z40" i="2" s="1"/>
  <c r="Z41" i="2" s="1"/>
  <c r="Y35" i="2"/>
  <c r="Y36" i="2" s="1"/>
  <c r="Y38" i="2" s="1"/>
  <c r="Y40" i="2" s="1"/>
  <c r="Y41" i="2" s="1"/>
  <c r="X35" i="2"/>
  <c r="X36" i="2" s="1"/>
  <c r="X38" i="2" s="1"/>
  <c r="X40" i="2" s="1"/>
  <c r="X41" i="2" s="1"/>
  <c r="Z31" i="2"/>
  <c r="Y31" i="2"/>
  <c r="X31" i="2"/>
  <c r="Z32" i="2"/>
  <c r="Y32" i="2"/>
  <c r="X32" i="2"/>
  <c r="X45" i="2"/>
  <c r="Y45" i="2"/>
  <c r="Z45" i="2"/>
  <c r="Z46" i="2"/>
  <c r="Y46" i="2"/>
  <c r="X46" i="2"/>
  <c r="T45" i="2"/>
  <c r="U46" i="2"/>
  <c r="U45" i="2"/>
  <c r="Z29" i="2"/>
  <c r="Y29" i="2"/>
  <c r="X29" i="2"/>
  <c r="Z28" i="2"/>
  <c r="Y28" i="2"/>
  <c r="X28" i="2"/>
  <c r="Z26" i="2"/>
  <c r="Y26" i="2"/>
  <c r="X26" i="2"/>
  <c r="Z25" i="2"/>
  <c r="Y25" i="2"/>
  <c r="X25" i="2"/>
  <c r="Z24" i="2"/>
  <c r="Y24" i="2"/>
  <c r="X24" i="2"/>
  <c r="Z23" i="2"/>
  <c r="Y23" i="2"/>
  <c r="X23" i="2"/>
  <c r="Z21" i="2"/>
  <c r="Y21" i="2"/>
  <c r="X21" i="2"/>
  <c r="Z20" i="2"/>
  <c r="Y20" i="2"/>
  <c r="X20" i="2"/>
  <c r="Z19" i="2"/>
  <c r="Y19" i="2"/>
  <c r="X19" i="2"/>
  <c r="Z18" i="2"/>
  <c r="Y18" i="2"/>
  <c r="X18" i="2"/>
  <c r="Z17" i="2"/>
  <c r="Y17" i="2"/>
  <c r="X17" i="2"/>
  <c r="Z16" i="2"/>
  <c r="Y16" i="2"/>
  <c r="X16" i="2"/>
  <c r="Z15" i="2"/>
  <c r="Y15" i="2"/>
  <c r="X15" i="2"/>
  <c r="Z14" i="2"/>
  <c r="Y14" i="2"/>
  <c r="X14" i="2"/>
  <c r="Z13" i="2"/>
  <c r="Y13" i="2"/>
  <c r="X13" i="2"/>
  <c r="Z12" i="2"/>
  <c r="Y12" i="2"/>
  <c r="X12" i="2"/>
  <c r="Q41" i="2"/>
  <c r="Q40" i="2"/>
  <c r="Q38" i="2"/>
  <c r="Q35" i="2"/>
  <c r="Q36" i="2" s="1"/>
  <c r="Q32" i="2"/>
  <c r="U32" i="2"/>
  <c r="V48" i="2"/>
  <c r="V61" i="2"/>
  <c r="V68" i="2" s="1"/>
  <c r="U68" i="2"/>
  <c r="V58" i="2"/>
  <c r="U58" i="2"/>
  <c r="V55" i="2"/>
  <c r="W48" i="2"/>
  <c r="U48" i="2"/>
  <c r="T46" i="2"/>
  <c r="S46" i="2"/>
  <c r="R46" i="2"/>
  <c r="W46" i="2"/>
  <c r="V46" i="2"/>
  <c r="V45" i="2"/>
  <c r="W45" i="2"/>
  <c r="V38" i="2"/>
  <c r="T38" i="2"/>
  <c r="S38" i="2"/>
  <c r="V35" i="2"/>
  <c r="V36" i="2" s="1"/>
  <c r="U35" i="2"/>
  <c r="U36" i="2" s="1"/>
  <c r="U38" i="2" s="1"/>
  <c r="U40" i="2" s="1"/>
  <c r="U41" i="2" s="1"/>
  <c r="T35" i="2"/>
  <c r="T36" i="2" s="1"/>
  <c r="S35" i="2"/>
  <c r="S36" i="2" s="1"/>
  <c r="S40" i="2" s="1"/>
  <c r="S41" i="2" s="1"/>
  <c r="R35" i="2"/>
  <c r="R36" i="2" s="1"/>
  <c r="R38" i="2" s="1"/>
  <c r="R40" i="2" s="1"/>
  <c r="R41" i="2" s="1"/>
  <c r="R32" i="2"/>
  <c r="V32" i="2"/>
  <c r="V40" i="2"/>
  <c r="V41" i="2" s="1"/>
  <c r="W35" i="2"/>
  <c r="W38" i="2" s="1"/>
  <c r="W40" i="2" s="1"/>
  <c r="W41" i="2" s="1"/>
  <c r="S32" i="2"/>
  <c r="W32" i="2"/>
  <c r="Z30" i="2"/>
  <c r="Y30" i="2"/>
  <c r="X30" i="2"/>
  <c r="W30" i="2"/>
  <c r="T62" i="2"/>
  <c r="T68" i="2" s="1"/>
  <c r="T61" i="2"/>
  <c r="T48" i="2" s="1"/>
  <c r="T55" i="2"/>
  <c r="T58" i="2" s="1"/>
  <c r="P35" i="2"/>
  <c r="V30" i="2"/>
  <c r="U30" i="2"/>
  <c r="T30" i="2"/>
  <c r="T32" i="2" s="1"/>
  <c r="S30" i="2"/>
  <c r="R30" i="2"/>
  <c r="Q30" i="2"/>
  <c r="P30" i="2"/>
  <c r="P32" i="2" s="1"/>
  <c r="P36" i="2" s="1"/>
  <c r="P38" i="2" s="1"/>
  <c r="P40" i="2" s="1"/>
  <c r="P41" i="2" s="1"/>
  <c r="O30" i="2"/>
  <c r="N30" i="2"/>
  <c r="AJ55" i="2"/>
  <c r="AJ58" i="2" s="1"/>
  <c r="AJ62" i="2"/>
  <c r="AJ61" i="2"/>
  <c r="AJ35" i="2"/>
  <c r="AI35" i="2"/>
  <c r="AH35" i="2"/>
  <c r="AH30" i="2"/>
  <c r="AH32" i="2" s="1"/>
  <c r="AH36" i="2" s="1"/>
  <c r="AH38" i="2" s="1"/>
  <c r="AH40" i="2" s="1"/>
  <c r="AH41" i="2" s="1"/>
  <c r="AJ28" i="2"/>
  <c r="AJ30" i="2" s="1"/>
  <c r="AJ32" i="2" s="1"/>
  <c r="AJ46" i="2" s="1"/>
  <c r="AI28" i="2"/>
  <c r="AI30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M61" i="2"/>
  <c r="M62" i="2"/>
  <c r="M68" i="2" s="1"/>
  <c r="M55" i="2"/>
  <c r="M58" i="2" s="1"/>
  <c r="F37" i="2"/>
  <c r="F35" i="2"/>
  <c r="F30" i="2"/>
  <c r="F32" i="2" s="1"/>
  <c r="F36" i="2" s="1"/>
  <c r="F38" i="2" s="1"/>
  <c r="F40" i="2" s="1"/>
  <c r="F41" i="2" s="1"/>
  <c r="J37" i="2"/>
  <c r="J35" i="2"/>
  <c r="J30" i="2"/>
  <c r="J32" i="2" s="1"/>
  <c r="I37" i="2"/>
  <c r="M37" i="2"/>
  <c r="M35" i="2"/>
  <c r="I35" i="2"/>
  <c r="I30" i="2"/>
  <c r="I32" i="2" s="1"/>
  <c r="M30" i="2"/>
  <c r="M32" i="2" s="1"/>
  <c r="L95" i="2"/>
  <c r="L93" i="2"/>
  <c r="L92" i="2"/>
  <c r="L91" i="2"/>
  <c r="L87" i="2"/>
  <c r="L86" i="2"/>
  <c r="L84" i="2"/>
  <c r="L80" i="2"/>
  <c r="L79" i="2"/>
  <c r="L78" i="2"/>
  <c r="K90" i="2"/>
  <c r="L90" i="2" s="1"/>
  <c r="K85" i="2"/>
  <c r="L85" i="2" s="1"/>
  <c r="K81" i="2"/>
  <c r="L81" i="2" s="1"/>
  <c r="L77" i="2"/>
  <c r="L76" i="2"/>
  <c r="L75" i="2"/>
  <c r="L74" i="2"/>
  <c r="K62" i="2"/>
  <c r="K61" i="2"/>
  <c r="K55" i="2"/>
  <c r="K58" i="2" s="1"/>
  <c r="G37" i="2"/>
  <c r="G35" i="2"/>
  <c r="G30" i="2"/>
  <c r="G32" i="2" s="1"/>
  <c r="G46" i="2" s="1"/>
  <c r="K37" i="2"/>
  <c r="K35" i="2"/>
  <c r="K30" i="2"/>
  <c r="K32" i="2" s="1"/>
  <c r="K46" i="2" s="1"/>
  <c r="L62" i="2"/>
  <c r="L61" i="2"/>
  <c r="L55" i="2"/>
  <c r="L58" i="2" s="1"/>
  <c r="H37" i="2"/>
  <c r="L37" i="2"/>
  <c r="H35" i="2"/>
  <c r="L35" i="2"/>
  <c r="H30" i="2"/>
  <c r="H32" i="2" s="1"/>
  <c r="H46" i="2" s="1"/>
  <c r="L30" i="2"/>
  <c r="L32" i="2" s="1"/>
  <c r="L46" i="2" s="1"/>
  <c r="M4" i="1"/>
  <c r="M7" i="1" s="1"/>
  <c r="AK45" i="2" l="1"/>
  <c r="T40" i="2"/>
  <c r="T41" i="2" s="1"/>
  <c r="L45" i="2"/>
  <c r="AJ66" i="2"/>
  <c r="AJ48" i="2"/>
  <c r="AJ45" i="2"/>
  <c r="AI45" i="2"/>
  <c r="AI32" i="2"/>
  <c r="AI46" i="2" s="1"/>
  <c r="J36" i="2"/>
  <c r="J38" i="2" s="1"/>
  <c r="J40" i="2" s="1"/>
  <c r="J41" i="2" s="1"/>
  <c r="J46" i="2"/>
  <c r="M36" i="2"/>
  <c r="M38" i="2" s="1"/>
  <c r="M40" i="2" s="1"/>
  <c r="M41" i="2" s="1"/>
  <c r="M46" i="2"/>
  <c r="I36" i="2"/>
  <c r="I38" i="2" s="1"/>
  <c r="I40" i="2" s="1"/>
  <c r="I41" i="2" s="1"/>
  <c r="I46" i="2"/>
  <c r="AI36" i="2"/>
  <c r="AI38" i="2" s="1"/>
  <c r="AI40" i="2" s="1"/>
  <c r="AI41" i="2" s="1"/>
  <c r="M45" i="2"/>
  <c r="K45" i="2"/>
  <c r="AH46" i="2"/>
  <c r="F46" i="2"/>
  <c r="AJ36" i="2"/>
  <c r="AJ38" i="2" s="1"/>
  <c r="AJ40" i="2" s="1"/>
  <c r="AJ41" i="2" s="1"/>
  <c r="J45" i="2"/>
  <c r="K68" i="2"/>
  <c r="L68" i="2"/>
  <c r="L94" i="2"/>
  <c r="K82" i="2"/>
  <c r="L82" i="2"/>
  <c r="L88" i="2"/>
  <c r="K94" i="2"/>
  <c r="K88" i="2"/>
  <c r="G36" i="2"/>
  <c r="G38" i="2" s="1"/>
  <c r="G40" i="2" s="1"/>
  <c r="G41" i="2" s="1"/>
  <c r="K36" i="2"/>
  <c r="K38" i="2" s="1"/>
  <c r="K40" i="2" s="1"/>
  <c r="L36" i="2"/>
  <c r="L38" i="2" s="1"/>
  <c r="L40" i="2" s="1"/>
  <c r="H36" i="2"/>
  <c r="H38" i="2" s="1"/>
  <c r="H40" i="2" s="1"/>
  <c r="H41" i="2" s="1"/>
  <c r="AJ67" i="2" l="1"/>
  <c r="AJ68" i="2" s="1"/>
  <c r="AJ70" i="2"/>
  <c r="AJ71" i="2" s="1"/>
  <c r="L96" i="2"/>
  <c r="L41" i="2"/>
  <c r="L73" i="2"/>
  <c r="K41" i="2"/>
  <c r="K73" i="2"/>
  <c r="K96" i="2"/>
</calcChain>
</file>

<file path=xl/sharedStrings.xml><?xml version="1.0" encoding="utf-8"?>
<sst xmlns="http://schemas.openxmlformats.org/spreadsheetml/2006/main" count="122" uniqueCount="112">
  <si>
    <t>Price</t>
  </si>
  <si>
    <t>Shares</t>
  </si>
  <si>
    <t>MC</t>
  </si>
  <si>
    <t>Cash</t>
  </si>
  <si>
    <t>Debt</t>
  </si>
  <si>
    <t>EV</t>
  </si>
  <si>
    <t>Q122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</si>
  <si>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</si>
  <si>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</si>
  <si>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</si>
  <si>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</si>
  <si>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</si>
  <si>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</si>
  <si>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</si>
  <si>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</si>
  <si>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</si>
  <si>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Q421</t>
  </si>
  <si>
    <t>Q321</t>
  </si>
  <si>
    <t>Q322</t>
  </si>
  <si>
    <t>Q422</t>
  </si>
  <si>
    <t>Product</t>
  </si>
  <si>
    <t>Other</t>
  </si>
  <si>
    <t>Gross Margin</t>
  </si>
  <si>
    <t>COGS</t>
  </si>
  <si>
    <t>Gross Profit</t>
  </si>
  <si>
    <t>R&amp;D</t>
  </si>
  <si>
    <t>SG&amp;A</t>
  </si>
  <si>
    <t>OpEx</t>
  </si>
  <si>
    <t>OpInc</t>
  </si>
  <si>
    <t>Interest</t>
  </si>
  <si>
    <t>Pretax</t>
  </si>
  <si>
    <t>Net Income</t>
  </si>
  <si>
    <t>Taxes</t>
  </si>
  <si>
    <t>EPS</t>
  </si>
  <si>
    <t>Revenue y/y</t>
  </si>
  <si>
    <t>Assets</t>
  </si>
  <si>
    <t>AR</t>
  </si>
  <si>
    <t>Inventories</t>
  </si>
  <si>
    <t>Prepaid</t>
  </si>
  <si>
    <t>Held for Sale</t>
  </si>
  <si>
    <t>PP&amp;E</t>
  </si>
  <si>
    <t>Goodwill</t>
  </si>
  <si>
    <t>OA</t>
  </si>
  <si>
    <t>L+SE</t>
  </si>
  <si>
    <t>AP</t>
  </si>
  <si>
    <t>OCL</t>
  </si>
  <si>
    <t>ONCL</t>
  </si>
  <si>
    <t>Model NI</t>
  </si>
  <si>
    <t>Reported NI</t>
  </si>
  <si>
    <t>D&amp;A</t>
  </si>
  <si>
    <t>SBC</t>
  </si>
  <si>
    <t>DT</t>
  </si>
  <si>
    <t>Equity</t>
  </si>
  <si>
    <t>Litigation</t>
  </si>
  <si>
    <t>WC</t>
  </si>
  <si>
    <t>Debt &amp; Other</t>
  </si>
  <si>
    <t>SBC Taxes</t>
  </si>
  <si>
    <t>CoCo</t>
  </si>
  <si>
    <t>Dividends</t>
  </si>
  <si>
    <t>CFFF</t>
  </si>
  <si>
    <t>CapEx</t>
  </si>
  <si>
    <t>Securities</t>
  </si>
  <si>
    <t>Product Rights</t>
  </si>
  <si>
    <t>Sale of Assets</t>
  </si>
  <si>
    <t>CFFI</t>
  </si>
  <si>
    <t>CFFO</t>
  </si>
  <si>
    <t>FX</t>
  </si>
  <si>
    <t>CIC</t>
  </si>
  <si>
    <t>Developed</t>
  </si>
  <si>
    <t>China</t>
  </si>
  <si>
    <t>JANZ</t>
  </si>
  <si>
    <t>Emerging</t>
  </si>
  <si>
    <t>Brands</t>
  </si>
  <si>
    <t>Complex/BS</t>
  </si>
  <si>
    <t>Generics</t>
  </si>
  <si>
    <t>Lipitor</t>
  </si>
  <si>
    <t>Norvasc</t>
  </si>
  <si>
    <t>Lyrica</t>
  </si>
  <si>
    <t>Viagra</t>
  </si>
  <si>
    <t>EpiPen</t>
  </si>
  <si>
    <t>Celebrex</t>
  </si>
  <si>
    <t>Creon</t>
  </si>
  <si>
    <t>Effexor</t>
  </si>
  <si>
    <t>Zoloft</t>
  </si>
  <si>
    <t>Xala</t>
  </si>
  <si>
    <t>Dymista</t>
  </si>
  <si>
    <t>Yupelri</t>
  </si>
  <si>
    <t>Amitiza</t>
  </si>
  <si>
    <t>Xanax</t>
  </si>
  <si>
    <t>Formed November 2020</t>
  </si>
  <si>
    <t>CEO: Michael Goettler</t>
  </si>
  <si>
    <t>CFO: Sanjeev Narula</t>
  </si>
  <si>
    <t>Influvac</t>
  </si>
  <si>
    <t>1961: Mylan founded.</t>
  </si>
  <si>
    <t>Net Cash</t>
  </si>
  <si>
    <t>Liabilities</t>
  </si>
  <si>
    <t>Book Value</t>
  </si>
  <si>
    <t>Tangible Book Value</t>
  </si>
  <si>
    <t>SE (Book Value)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</si>
  <si>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</si>
  <si>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</si>
  <si>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</si>
  <si>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</si>
  <si>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</si>
  <si>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</si>
  <si>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</si>
  <si>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</si>
  <si>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</si>
  <si>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</si>
  <si>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</si>
  <si>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</si>
  <si>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2020-11-16: Upjohn (Pfizer)/Mylan merger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</si>
</sst>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</cellXfs>
  <cellStyles count="5">
    <cellStyle name="Hyperlink" xfId="1" builtinId="8"/>
    <cellStyle name="Hyperlink 2" xfId="3" xr:uid="{0CCD5425-0045-4669-AE8C-0C6883080D73}"/>
    <cellStyle name="Normal" xfId="0" builtinId="0"/>
    <cellStyle name="Normal 2" xfId="2" xr:uid="{FCED1AB9-9B34-4C17-AA06-32893396C27A}"/>
    <cellStyle name="Normal 3" xfId="4" xr:uid="{430EDDB5-2D5A-4E43-BFE8-008BF837DB00}"/>
  </cellStyles>
  <dxfs count="0"/>
  <tableStyles count="1" defaultTableStyle="TableStyleMedium2" defaultPivotStyle="PivotStyleLight16">
    <tableStyle name="Invisible" pivot="0" table="0" count="0" xr9:uid="{7E152EB0-63A4-4DDF-A48A-D6473F2ECE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22055</xdr:colOff>
      <xdr:row>0</xdr:row>
      <xdr:rowOff>0</xdr:rowOff>
    </xdr:from>
    <xdr:to>
      <xdr:col>23</xdr:col>
      <xdr:colOff>22055</xdr:colOff>
      <xdr:row>84</xdr:row>
      <xdr:rowOff>122634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955CAF-2D96-1A5D-AD91-EA07FDB6BB82}"/>
            </a:ext>
          </a:extLst>
        </xdr:cNvPr>
        <xdr:cNvCxnSpPr/>
      </xdr:nvCxnSpPr>
      <xdr:spPr>
        <a:xfrm>
          <a:off x="14852026" y="0"/>
          <a:ext cx="0" cy="135846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35789</xdr:colOff>
      <xdr:row>0</xdr:row>
      <xdr:rowOff>94408</xdr:rowOff>
    </xdr:from>
    <xdr:to>
      <xdr:col>38</xdr:col>
      <xdr:colOff>35789</xdr:colOff>
      <xdr:row>84</xdr:row>
      <xdr:rowOff>114852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7B0279C-0707-B9DC-6DEC-78CCC33214BB}"/>
            </a:ext>
          </a:extLst>
        </xdr:cNvPr>
        <xdr:cNvCxnSpPr/>
      </xdr:nvCxnSpPr>
      <xdr:spPr>
        <a:xfrm>
          <a:off x="23933876" y="94408"/>
          <a:ext cx="0" cy="135100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esln01s\res1\Pharmaceuticals\TRACEM\EXCEL\ROCHE\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m1\elea_folder\Oil\NEW_TEAM\Company%20models\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uation"/>
      <sheetName val="ROCHE"/>
      <sheetName val="Old Valuation"/>
      <sheetName val="Hill Samuel"/>
      <sheetName val="NoteXpress"/>
      <sheetName val="Bus Seg"/>
      <sheetName val="Financial "/>
      <sheetName val="Geographic"/>
      <sheetName val="Divisional breakdown"/>
      <sheetName val="Pharma"/>
      <sheetName val="Quarters"/>
      <sheetName val="Interims"/>
      <sheetName val="CashFlow"/>
      <sheetName val="OLD divisional"/>
      <sheetName val="Liq Funds"/>
      <sheetName val="Standard Qs Sheet"/>
      <sheetName val="Qtrly Product Sales"/>
      <sheetName val="Sensitivity multiples"/>
      <sheetName val="DCF"/>
      <sheetName val="BSheet"/>
      <sheetName val="Financials"/>
      <sheetName val="Roche ex-Genentech"/>
      <sheetName val="Sum of the Parts"/>
      <sheetName val="Pharma Only"/>
      <sheetName val="Discounted CashFlow"/>
      <sheetName val="ex-F&amp;F"/>
      <sheetName val="Therapeutic Areas"/>
      <sheetName val="Sheet1"/>
      <sheetName val="Xenical"/>
      <sheetName val="Genentech"/>
      <sheetName val="Product Buffer Sheet"/>
      <sheetName val="Genentech Phasing"/>
      <sheetName val="Chart1"/>
      <sheetName val="Charts"/>
      <sheetName val="Conversion"/>
      <sheetName val="Quarterly product sales"/>
      <sheetName val="Quantum"/>
      <sheetName val="Pharma Half Year"/>
      <sheetName val="Div'l Analysis"/>
      <sheetName val="half year results"/>
      <sheetName val="EVA"/>
      <sheetName val="R&amp;D"/>
      <sheetName val="EVA Calculations"/>
      <sheetName val="Historical Division"/>
      <sheetName val="Valuations"/>
      <sheetName val="#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"/>
      <sheetName val="Figures"/>
      <sheetName val="projections"/>
      <sheetName val="Targets &amp; Cost cutting"/>
      <sheetName val="eval"/>
      <sheetName val="dayval"/>
      <sheetName val="debt"/>
      <sheetName val="dcf"/>
      <sheetName val="Oildisc"/>
      <sheetName val="assms"/>
      <sheetName val="chem"/>
      <sheetName val="r&amp;m"/>
      <sheetName val="Gas&amp;Power"/>
      <sheetName val="group e&amp;p"/>
      <sheetName val="ARCO_E&amp;P"/>
      <sheetName val="USA"/>
      <sheetName val="UK"/>
      <sheetName val="Europe"/>
      <sheetName val="RoW"/>
      <sheetName val="prodprofile"/>
      <sheetName val="lr"/>
      <sheetName val="SOP"/>
      <sheetName val="Amoco Cost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7A8A-799D-4C3F-B6D7-D970F67C6431}">
  <sheetPr codeName="Sheet1"/>
  <dimension ref="L2:N15"/>
  <sheetViews>
    <sheetView zoomScaleNormal="100" workbookViewId="0">
      <selection activeCell="N7" sqref="N7"/>
    </sheetView>
  </sheetViews>
  <sheetFormatPr defaultRowHeight="12.75" x14ac:dyDescent="0.2"/>
  <cols>
    <col min="2" max="2" width="10.28515625" customWidth="1"/>
  </cols>
  <sheetData>
    <row r="2" spans="12:14" x14ac:dyDescent="0.2">
      <c r="L2" t="s">
        <v>0</v>
      </c>
      <c r="M2" s="1">
        <v>8.32</v>
      </c>
    </row>
    <row r="3" spans="12:14" x14ac:dyDescent="0.2">
      <c r="L3" t="s">
        <v>1</v>
      </c>
      <c r="M3" s="2">
        <v>1173.6819640000001</v>
      </c>
      <c r="N3" s="3" t="s">
        <v>107</v>
      </c>
    </row>
    <row r="4" spans="12:14" x14ac:dyDescent="0.2">
      <c r="L4" t="s">
        <v>2</v>
      </c>
      <c r="M4" s="2">
        <f>M2*M3</f>
        <v>9765.0339404800015</v>
      </c>
      <c r="N4" s="3"/>
    </row>
    <row r="5" spans="12:14" x14ac:dyDescent="0.2">
      <c r="L5" t="s">
        <v>3</v>
      </c>
      <c r="M5" s="2">
        <v>755</v>
      </c>
      <c r="N5" s="3" t="s">
        <v>107</v>
      </c>
    </row>
    <row r="6" spans="12:14" x14ac:dyDescent="0.2">
      <c r="L6" t="s">
        <v>4</v>
      </c>
      <c r="M6" s="2">
        <v>14186</v>
      </c>
      <c r="N6" s="3" t="s">
        <v>107</v>
      </c>
    </row>
    <row r="7" spans="12:14" x14ac:dyDescent="0.2">
      <c r="L7" t="s">
        <v>5</v>
      </c>
      <c r="M7" s="2">
        <f>M4-M5+M6</f>
        <v>23196.033940480003</v>
      </c>
    </row>
    <row r="9" spans="12:14" x14ac:dyDescent="0.2">
      <c r="L9" t="s">
        <v>89</v>
      </c>
    </row>
    <row r="10" spans="12:14" x14ac:dyDescent="0.2">
      <c r="L10" t="s">
        <v>90</v>
      </c>
    </row>
    <row r="11" spans="12:14" x14ac:dyDescent="0.2">
      <c r="L11" t="s">
        <v>91</v>
      </c>
    </row>
    <row r="14" spans="12:14" x14ac:dyDescent="0.2">
      <c r="L14" t="s">
        <v>111</v>
      </c>
    </row>
    <row r="15" spans="12:14" x14ac:dyDescent="0.2">
      <c r="L15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29FB-F424-40E9-A974-86FFAA24DCFE}">
  <sheetPr codeName="Sheet2"/>
  <dimension ref="A1:AR96"/>
  <sheetViews>
    <sheetView tabSelected="1" zoomScaleNormal="100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M28" sqref="AM28"/>
    </sheetView>
  </sheetViews>
  <sheetFormatPr defaultRowHeight="12.75" x14ac:dyDescent="0.2"/>
  <cols>
    <col min="1" max="1" width="5" bestFit="1" customWidth="1"/>
    <col min="2" max="2" width="18.42578125" customWidth="1"/>
    <col min="3" max="14" width="9.140625" style="3"/>
  </cols>
  <sheetData>
    <row r="1" spans="1:44" x14ac:dyDescent="0.2">
      <c r="A1" s="6" t="s">
        <v>8</v>
      </c>
    </row>
    <row r="2" spans="1:44" x14ac:dyDescent="0.2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17</v>
      </c>
      <c r="J2" s="3" t="s">
        <v>16</v>
      </c>
      <c r="K2" s="3" t="s">
        <v>6</v>
      </c>
      <c r="L2" s="3" t="s">
        <v>7</v>
      </c>
      <c r="M2" s="3" t="s">
        <v>18</v>
      </c>
      <c r="N2" s="3" t="s">
        <v>19</v>
      </c>
      <c r="O2" s="3" t="s">
        <v>99</v>
      </c>
      <c r="P2" s="3" t="s">
        <v>100</v>
      </c>
      <c r="Q2" s="3" t="s">
        <v>101</v>
      </c>
      <c r="R2" s="3" t="s">
        <v>102</v>
      </c>
      <c r="S2" s="3" t="s">
        <v>103</v>
      </c>
      <c r="T2" s="3" t="s">
        <v>104</v>
      </c>
      <c r="U2" s="3" t="s">
        <v>105</v>
      </c>
      <c r="V2" s="3" t="s">
        <v>106</v>
      </c>
      <c r="W2" s="3" t="s">
        <v>107</v>
      </c>
      <c r="X2" s="3" t="s">
        <v>108</v>
      </c>
      <c r="Y2" s="3" t="s">
        <v>109</v>
      </c>
      <c r="Z2" s="3" t="s">
        <v>110</v>
      </c>
      <c r="AC2">
        <v>2015</v>
      </c>
      <c r="AD2">
        <f>AC2+1</f>
        <v>2016</v>
      </c>
      <c r="AE2">
        <f t="shared" ref="AE2:AR2" si="0">AD2+1</f>
        <v>2017</v>
      </c>
      <c r="AF2">
        <f t="shared" si="0"/>
        <v>2018</v>
      </c>
      <c r="AG2">
        <f t="shared" si="0"/>
        <v>2019</v>
      </c>
      <c r="AH2">
        <f t="shared" si="0"/>
        <v>2020</v>
      </c>
      <c r="AI2">
        <f t="shared" si="0"/>
        <v>2021</v>
      </c>
      <c r="AJ2">
        <f t="shared" si="0"/>
        <v>2022</v>
      </c>
      <c r="AK2">
        <f t="shared" si="0"/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</row>
    <row r="3" spans="1:44" s="2" customFormat="1" x14ac:dyDescent="0.2">
      <c r="B3" s="2" t="s">
        <v>72</v>
      </c>
      <c r="C3" s="7"/>
      <c r="D3" s="7"/>
      <c r="E3" s="7"/>
      <c r="F3" s="7">
        <v>1859</v>
      </c>
      <c r="G3" s="7">
        <v>2724.6</v>
      </c>
      <c r="H3" s="7">
        <v>2701.7</v>
      </c>
      <c r="I3" s="7">
        <v>2803.1</v>
      </c>
      <c r="J3" s="7">
        <v>2611.9</v>
      </c>
      <c r="K3" s="7">
        <v>2554.1</v>
      </c>
      <c r="L3" s="7">
        <v>2483.1</v>
      </c>
      <c r="M3" s="7">
        <v>2540.3000000000002</v>
      </c>
      <c r="N3" s="7"/>
      <c r="S3" s="2">
        <v>2309.1</v>
      </c>
      <c r="W3" s="2">
        <v>2116.9</v>
      </c>
    </row>
    <row r="4" spans="1:44" s="2" customFormat="1" x14ac:dyDescent="0.2">
      <c r="B4" s="2" t="s">
        <v>73</v>
      </c>
      <c r="C4" s="7"/>
      <c r="D4" s="7"/>
      <c r="E4" s="7"/>
      <c r="F4" s="7">
        <v>338.8</v>
      </c>
      <c r="G4" s="7">
        <v>328.9</v>
      </c>
      <c r="H4" s="7">
        <v>332.8</v>
      </c>
      <c r="I4" s="7">
        <v>332</v>
      </c>
      <c r="J4" s="7">
        <v>348.4</v>
      </c>
      <c r="K4" s="7">
        <v>390.8</v>
      </c>
      <c r="L4" s="7">
        <v>354.8</v>
      </c>
      <c r="M4" s="7">
        <v>320.2</v>
      </c>
      <c r="N4" s="7"/>
      <c r="S4" s="2">
        <v>1344.4</v>
      </c>
      <c r="W4" s="2">
        <v>1126.3</v>
      </c>
    </row>
    <row r="5" spans="1:44" s="2" customFormat="1" x14ac:dyDescent="0.2">
      <c r="B5" s="2" t="s">
        <v>74</v>
      </c>
      <c r="C5" s="7"/>
      <c r="D5" s="7"/>
      <c r="E5" s="7"/>
      <c r="F5" s="7">
        <v>1389.9</v>
      </c>
      <c r="G5" s="7">
        <v>1346.6</v>
      </c>
      <c r="H5" s="7">
        <v>1527.2</v>
      </c>
      <c r="I5" s="7">
        <v>1385.4</v>
      </c>
      <c r="J5" s="7">
        <v>1371</v>
      </c>
      <c r="K5" s="7">
        <v>1233.3</v>
      </c>
      <c r="L5" s="7">
        <v>1267.5</v>
      </c>
      <c r="M5" s="7">
        <v>1206.9000000000001</v>
      </c>
      <c r="N5" s="7"/>
    </row>
    <row r="7" spans="1:44" s="2" customFormat="1" x14ac:dyDescent="0.2">
      <c r="B7" s="2" t="s">
        <v>68</v>
      </c>
      <c r="C7" s="7"/>
      <c r="D7" s="7"/>
      <c r="E7" s="7"/>
      <c r="F7" s="7">
        <v>2378.6</v>
      </c>
      <c r="G7" s="7">
        <v>2571.6</v>
      </c>
      <c r="H7" s="7">
        <v>2640.4</v>
      </c>
      <c r="I7" s="7">
        <v>2655.9</v>
      </c>
      <c r="J7" s="7">
        <v>2560.8000000000002</v>
      </c>
      <c r="K7" s="7">
        <v>2476.1</v>
      </c>
      <c r="L7" s="7">
        <v>2479.1</v>
      </c>
      <c r="M7" s="7">
        <v>2431.5</v>
      </c>
      <c r="N7" s="7"/>
      <c r="S7" s="2">
        <v>2165.4</v>
      </c>
      <c r="W7" s="2">
        <v>1891.7</v>
      </c>
      <c r="AI7" s="2">
        <v>10428.700000000001</v>
      </c>
      <c r="AJ7" s="2">
        <v>9768.9</v>
      </c>
      <c r="AL7" s="2">
        <f>SUM(S7:V7)</f>
        <v>2165.4</v>
      </c>
    </row>
    <row r="8" spans="1:44" s="2" customFormat="1" x14ac:dyDescent="0.2">
      <c r="B8" s="2" t="s">
        <v>69</v>
      </c>
      <c r="C8" s="7"/>
      <c r="D8" s="7"/>
      <c r="E8" s="7"/>
      <c r="F8" s="7">
        <v>190.6</v>
      </c>
      <c r="G8" s="7">
        <v>591.9</v>
      </c>
      <c r="H8" s="7">
        <v>550.29999999999995</v>
      </c>
      <c r="I8" s="7">
        <v>792.5</v>
      </c>
      <c r="J8" s="7">
        <v>503.8</v>
      </c>
      <c r="K8" s="7">
        <v>573.1</v>
      </c>
      <c r="L8" s="7">
        <v>548.29999999999995</v>
      </c>
      <c r="M8" s="7">
        <v>678.9</v>
      </c>
      <c r="N8" s="7"/>
      <c r="S8" s="2">
        <v>543.9</v>
      </c>
      <c r="W8" s="2">
        <v>555.5</v>
      </c>
      <c r="AI8" s="2">
        <v>2212.8000000000002</v>
      </c>
      <c r="AJ8" s="2">
        <v>2201.1999999999998</v>
      </c>
      <c r="AL8" s="2">
        <f>SUM(S8:V8)</f>
        <v>543.9</v>
      </c>
    </row>
    <row r="9" spans="1:44" s="2" customFormat="1" x14ac:dyDescent="0.2">
      <c r="B9" s="2" t="s">
        <v>70</v>
      </c>
      <c r="C9" s="7"/>
      <c r="D9" s="7"/>
      <c r="E9" s="7"/>
      <c r="F9" s="7">
        <v>389.5</v>
      </c>
      <c r="G9" s="7">
        <v>481.9</v>
      </c>
      <c r="H9" s="7">
        <v>501</v>
      </c>
      <c r="I9" s="7">
        <v>505.3</v>
      </c>
      <c r="J9" s="7">
        <v>539.20000000000005</v>
      </c>
      <c r="K9" s="7">
        <v>423.8</v>
      </c>
      <c r="L9" s="7">
        <v>427.1</v>
      </c>
      <c r="M9" s="7">
        <v>383</v>
      </c>
      <c r="N9" s="7"/>
      <c r="S9" s="2">
        <v>317.8</v>
      </c>
      <c r="W9" s="2">
        <v>276.10000000000002</v>
      </c>
      <c r="AI9" s="2">
        <v>2027.4</v>
      </c>
      <c r="AJ9" s="2">
        <v>1632.4</v>
      </c>
      <c r="AL9" s="2">
        <f>SUM(S9:V9)</f>
        <v>317.8</v>
      </c>
    </row>
    <row r="10" spans="1:44" s="2" customFormat="1" x14ac:dyDescent="0.2">
      <c r="B10" s="2" t="s">
        <v>71</v>
      </c>
      <c r="C10" s="7"/>
      <c r="D10" s="7"/>
      <c r="E10" s="7"/>
      <c r="F10" s="7">
        <v>629</v>
      </c>
      <c r="G10" s="7">
        <v>754.7</v>
      </c>
      <c r="H10" s="7">
        <v>870</v>
      </c>
      <c r="I10" s="7">
        <v>566.79999999999995</v>
      </c>
      <c r="J10" s="7">
        <v>727.5</v>
      </c>
      <c r="K10" s="7">
        <v>705.2</v>
      </c>
      <c r="L10" s="7">
        <v>650.9</v>
      </c>
      <c r="M10" s="7">
        <v>574</v>
      </c>
      <c r="N10" s="7"/>
      <c r="S10" s="2">
        <v>626.4</v>
      </c>
      <c r="W10" s="2">
        <v>519.9</v>
      </c>
      <c r="AI10" s="2">
        <v>3144.7</v>
      </c>
      <c r="AJ10" s="2">
        <v>2615.6</v>
      </c>
      <c r="AL10" s="2">
        <f>SUM(S10:V10)</f>
        <v>626.4</v>
      </c>
    </row>
    <row r="11" spans="1:44" s="2" customFormat="1" x14ac:dyDescent="0.2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44" s="2" customFormat="1" x14ac:dyDescent="0.2">
      <c r="B12" s="2" t="s">
        <v>75</v>
      </c>
      <c r="C12" s="7"/>
      <c r="D12" s="7"/>
      <c r="E12" s="7"/>
      <c r="F12" s="7"/>
      <c r="G12" s="7">
        <v>464.6</v>
      </c>
      <c r="H12" s="7">
        <v>398.3</v>
      </c>
      <c r="I12" s="7">
        <v>410</v>
      </c>
      <c r="J12" s="7">
        <v>390.3</v>
      </c>
      <c r="K12" s="7">
        <v>440.1</v>
      </c>
      <c r="L12" s="7">
        <v>405.6</v>
      </c>
      <c r="M12" s="7">
        <v>420.4</v>
      </c>
      <c r="N12" s="7"/>
      <c r="P12" s="2">
        <v>380</v>
      </c>
      <c r="Q12" s="2">
        <v>381.6</v>
      </c>
      <c r="R12" s="2">
        <v>379.8</v>
      </c>
      <c r="S12" s="2">
        <v>388.9</v>
      </c>
      <c r="T12" s="2">
        <v>348.4</v>
      </c>
      <c r="U12" s="2">
        <v>375.6</v>
      </c>
      <c r="V12" s="2">
        <v>355.9</v>
      </c>
      <c r="W12" s="2">
        <v>388</v>
      </c>
      <c r="X12" s="2">
        <f t="shared" ref="X12:Z13" si="1">+T12</f>
        <v>348.4</v>
      </c>
      <c r="Y12" s="2">
        <f t="shared" si="1"/>
        <v>375.6</v>
      </c>
      <c r="Z12" s="2">
        <f t="shared" si="1"/>
        <v>355.9</v>
      </c>
      <c r="AL12" s="2">
        <f t="shared" ref="AL12:AL29" si="2">SUM(S12:V12)</f>
        <v>1468.8000000000002</v>
      </c>
    </row>
    <row r="13" spans="1:44" s="2" customFormat="1" x14ac:dyDescent="0.2">
      <c r="B13" s="2" t="s">
        <v>76</v>
      </c>
      <c r="C13" s="7"/>
      <c r="D13" s="7"/>
      <c r="E13" s="7"/>
      <c r="F13" s="7"/>
      <c r="G13" s="7">
        <v>227.7</v>
      </c>
      <c r="H13" s="7">
        <v>209.8</v>
      </c>
      <c r="I13" s="7">
        <v>198.4</v>
      </c>
      <c r="J13" s="7">
        <v>188.8</v>
      </c>
      <c r="K13" s="7">
        <v>207.8</v>
      </c>
      <c r="L13" s="7">
        <v>203</v>
      </c>
      <c r="M13" s="7">
        <v>189.3</v>
      </c>
      <c r="N13" s="7"/>
      <c r="P13" s="2">
        <v>182.4</v>
      </c>
      <c r="Q13" s="2">
        <v>175.5</v>
      </c>
      <c r="R13" s="2">
        <v>171.8</v>
      </c>
      <c r="S13" s="2">
        <v>176.3</v>
      </c>
      <c r="T13" s="2">
        <v>161.9</v>
      </c>
      <c r="U13" s="2">
        <v>168.9</v>
      </c>
      <c r="V13" s="2">
        <v>166.2</v>
      </c>
      <c r="W13" s="2">
        <v>172.3</v>
      </c>
      <c r="X13" s="2">
        <f t="shared" si="1"/>
        <v>161.9</v>
      </c>
      <c r="Y13" s="2">
        <f t="shared" si="1"/>
        <v>168.9</v>
      </c>
      <c r="Z13" s="2">
        <f t="shared" si="1"/>
        <v>166.2</v>
      </c>
      <c r="AL13" s="2">
        <f t="shared" si="2"/>
        <v>673.3</v>
      </c>
    </row>
    <row r="14" spans="1:44" s="2" customFormat="1" x14ac:dyDescent="0.2">
      <c r="B14" s="2" t="s">
        <v>77</v>
      </c>
      <c r="C14" s="7"/>
      <c r="D14" s="7"/>
      <c r="E14" s="7"/>
      <c r="F14" s="7"/>
      <c r="G14" s="7">
        <v>187.8</v>
      </c>
      <c r="H14" s="7">
        <v>192.5</v>
      </c>
      <c r="I14" s="7">
        <v>175.6</v>
      </c>
      <c r="J14" s="7">
        <v>172.6</v>
      </c>
      <c r="K14" s="7">
        <v>171.7</v>
      </c>
      <c r="L14" s="7">
        <v>155.80000000000001</v>
      </c>
      <c r="M14" s="7">
        <v>156.5</v>
      </c>
      <c r="N14" s="7"/>
      <c r="P14" s="2">
        <v>137.1</v>
      </c>
      <c r="Q14" s="2">
        <v>141.69999999999999</v>
      </c>
      <c r="R14" s="2">
        <v>133.4</v>
      </c>
      <c r="S14" s="2">
        <v>114.2</v>
      </c>
      <c r="T14" s="2">
        <v>124.3</v>
      </c>
      <c r="U14" s="2">
        <v>129.9</v>
      </c>
      <c r="V14" s="2">
        <v>127</v>
      </c>
      <c r="W14" s="2">
        <v>112.6</v>
      </c>
      <c r="X14" s="2">
        <f t="shared" ref="X14:Z15" si="3">+T14*0.9</f>
        <v>111.87</v>
      </c>
      <c r="Y14" s="2">
        <f t="shared" si="3"/>
        <v>116.91000000000001</v>
      </c>
      <c r="Z14" s="2">
        <f t="shared" si="3"/>
        <v>114.3</v>
      </c>
      <c r="AL14" s="2">
        <f t="shared" si="2"/>
        <v>495.4</v>
      </c>
    </row>
    <row r="15" spans="1:44" s="2" customFormat="1" x14ac:dyDescent="0.2">
      <c r="B15" s="2" t="s">
        <v>78</v>
      </c>
      <c r="C15" s="7"/>
      <c r="D15" s="7"/>
      <c r="E15" s="7"/>
      <c r="F15" s="7"/>
      <c r="G15" s="7">
        <v>139.6</v>
      </c>
      <c r="H15" s="7">
        <v>134.80000000000001</v>
      </c>
      <c r="I15" s="7">
        <v>138</v>
      </c>
      <c r="J15" s="7">
        <v>121.4</v>
      </c>
      <c r="K15" s="7">
        <v>129.80000000000001</v>
      </c>
      <c r="L15" s="7">
        <v>115.1</v>
      </c>
      <c r="M15" s="7">
        <v>117</v>
      </c>
      <c r="N15" s="7"/>
      <c r="P15" s="2">
        <v>111</v>
      </c>
      <c r="Q15" s="2">
        <v>110.5</v>
      </c>
      <c r="R15" s="2">
        <v>92.3</v>
      </c>
      <c r="S15" s="2">
        <v>100.7</v>
      </c>
      <c r="T15" s="2">
        <v>106.1</v>
      </c>
      <c r="U15" s="2">
        <v>100.2</v>
      </c>
      <c r="V15" s="2">
        <v>88.6</v>
      </c>
      <c r="W15" s="2">
        <v>98.5</v>
      </c>
      <c r="X15" s="2">
        <f t="shared" si="3"/>
        <v>95.49</v>
      </c>
      <c r="Y15" s="2">
        <f t="shared" si="3"/>
        <v>90.18</v>
      </c>
      <c r="Z15" s="2">
        <f t="shared" si="3"/>
        <v>79.739999999999995</v>
      </c>
      <c r="AL15" s="2">
        <f t="shared" si="2"/>
        <v>395.6</v>
      </c>
    </row>
    <row r="16" spans="1:44" s="2" customFormat="1" x14ac:dyDescent="0.2">
      <c r="B16" s="2" t="s">
        <v>79</v>
      </c>
      <c r="C16" s="7"/>
      <c r="D16" s="7"/>
      <c r="E16" s="7"/>
      <c r="F16" s="7"/>
      <c r="G16" s="7">
        <v>103.7</v>
      </c>
      <c r="H16" s="7">
        <v>104.1</v>
      </c>
      <c r="I16" s="7">
        <v>129.5</v>
      </c>
      <c r="J16" s="7">
        <v>54.4</v>
      </c>
      <c r="K16" s="7">
        <v>88.8</v>
      </c>
      <c r="L16" s="7">
        <v>106.5</v>
      </c>
      <c r="M16" s="7">
        <v>114.4</v>
      </c>
      <c r="N16" s="7"/>
      <c r="P16" s="2">
        <v>127.5</v>
      </c>
      <c r="Q16" s="2">
        <v>131.9</v>
      </c>
      <c r="R16" s="2">
        <v>87</v>
      </c>
      <c r="S16" s="2">
        <v>80.2</v>
      </c>
      <c r="T16" s="2">
        <v>115.5</v>
      </c>
      <c r="U16" s="2">
        <v>123.2</v>
      </c>
      <c r="V16" s="2">
        <v>73.099999999999994</v>
      </c>
      <c r="W16" s="2">
        <v>96.7</v>
      </c>
      <c r="X16" s="2">
        <f>+T16</f>
        <v>115.5</v>
      </c>
      <c r="Y16" s="2">
        <f>+U16</f>
        <v>123.2</v>
      </c>
      <c r="Z16" s="2">
        <f>+V16</f>
        <v>73.099999999999994</v>
      </c>
      <c r="AL16" s="2">
        <f t="shared" si="2"/>
        <v>392</v>
      </c>
    </row>
    <row r="17" spans="2:38" s="2" customFormat="1" x14ac:dyDescent="0.2">
      <c r="B17" s="2" t="s">
        <v>80</v>
      </c>
      <c r="C17" s="7"/>
      <c r="D17" s="7"/>
      <c r="E17" s="7"/>
      <c r="F17" s="7"/>
      <c r="G17" s="7">
        <v>89</v>
      </c>
      <c r="H17" s="7">
        <v>82.3</v>
      </c>
      <c r="I17" s="7">
        <v>86</v>
      </c>
      <c r="J17" s="7">
        <v>87.1</v>
      </c>
      <c r="K17" s="7">
        <v>85.2</v>
      </c>
      <c r="L17" s="7">
        <v>85.9</v>
      </c>
      <c r="M17" s="7">
        <v>82.2</v>
      </c>
      <c r="N17" s="7"/>
      <c r="P17" s="2">
        <v>82</v>
      </c>
      <c r="Q17" s="2">
        <v>84.7</v>
      </c>
      <c r="R17" s="2">
        <v>75.099999999999994</v>
      </c>
      <c r="S17" s="2">
        <v>72.2</v>
      </c>
      <c r="T17" s="2">
        <v>72.2</v>
      </c>
      <c r="U17" s="2">
        <v>74.099999999999994</v>
      </c>
      <c r="V17" s="2">
        <v>67.099999999999994</v>
      </c>
      <c r="W17" s="2">
        <v>63.4</v>
      </c>
      <c r="X17" s="2">
        <f>+T17*0.9</f>
        <v>64.98</v>
      </c>
      <c r="Y17" s="2">
        <f>+U17*0.9</f>
        <v>66.69</v>
      </c>
      <c r="Z17" s="2">
        <f>+V17*0.9</f>
        <v>60.389999999999993</v>
      </c>
      <c r="AL17" s="2">
        <f t="shared" si="2"/>
        <v>285.60000000000002</v>
      </c>
    </row>
    <row r="18" spans="2:38" s="2" customFormat="1" x14ac:dyDescent="0.2">
      <c r="B18" s="2" t="s">
        <v>81</v>
      </c>
      <c r="C18" s="7"/>
      <c r="D18" s="7"/>
      <c r="E18" s="7"/>
      <c r="F18" s="7"/>
      <c r="G18" s="7">
        <v>69.900000000000006</v>
      </c>
      <c r="H18" s="7">
        <v>80.7</v>
      </c>
      <c r="I18" s="7">
        <v>81.099999999999994</v>
      </c>
      <c r="J18" s="7">
        <v>78.099999999999994</v>
      </c>
      <c r="K18" s="7">
        <v>74.7</v>
      </c>
      <c r="L18" s="7">
        <v>75.400000000000006</v>
      </c>
      <c r="M18" s="7">
        <v>76.400000000000006</v>
      </c>
      <c r="N18" s="7"/>
      <c r="P18" s="2">
        <v>74.099999999999994</v>
      </c>
      <c r="Q18" s="2">
        <v>77.5</v>
      </c>
      <c r="R18" s="2">
        <v>80.599999999999994</v>
      </c>
      <c r="S18" s="2">
        <v>75</v>
      </c>
      <c r="T18" s="2">
        <v>78.2</v>
      </c>
      <c r="U18" s="2">
        <v>84.6</v>
      </c>
      <c r="V18" s="2">
        <v>90.4</v>
      </c>
      <c r="W18" s="2">
        <v>82.4</v>
      </c>
      <c r="X18" s="2">
        <f>+T18*1.05</f>
        <v>82.11</v>
      </c>
      <c r="Y18" s="2">
        <f>+U18*1.05</f>
        <v>88.83</v>
      </c>
      <c r="Z18" s="2">
        <f>+V18*1.05</f>
        <v>94.920000000000016</v>
      </c>
      <c r="AL18" s="2">
        <f t="shared" si="2"/>
        <v>328.2</v>
      </c>
    </row>
    <row r="19" spans="2:38" s="2" customFormat="1" x14ac:dyDescent="0.2">
      <c r="B19" s="2" t="s">
        <v>82</v>
      </c>
      <c r="C19" s="7"/>
      <c r="D19" s="7"/>
      <c r="E19" s="7"/>
      <c r="F19" s="7"/>
      <c r="G19" s="7">
        <v>76.599999999999994</v>
      </c>
      <c r="H19" s="7">
        <v>83.5</v>
      </c>
      <c r="I19" s="7">
        <v>79.5</v>
      </c>
      <c r="J19" s="7">
        <v>77.2</v>
      </c>
      <c r="K19" s="7">
        <v>77.5</v>
      </c>
      <c r="L19" s="7">
        <v>73.7</v>
      </c>
      <c r="M19" s="7">
        <v>64.2</v>
      </c>
      <c r="N19" s="7"/>
      <c r="P19" s="2">
        <v>64.8</v>
      </c>
      <c r="Q19" s="2">
        <v>65.5</v>
      </c>
      <c r="R19" s="2">
        <v>68</v>
      </c>
      <c r="S19" s="2">
        <v>59.4</v>
      </c>
      <c r="T19" s="2">
        <v>62.7</v>
      </c>
      <c r="U19" s="2">
        <v>66.3</v>
      </c>
      <c r="V19" s="2">
        <v>64.5</v>
      </c>
      <c r="W19" s="2">
        <v>59.3</v>
      </c>
      <c r="X19" s="2">
        <f t="shared" ref="X19:Z21" si="4">+T19</f>
        <v>62.7</v>
      </c>
      <c r="Y19" s="2">
        <f t="shared" si="4"/>
        <v>66.3</v>
      </c>
      <c r="Z19" s="2">
        <f t="shared" si="4"/>
        <v>64.5</v>
      </c>
      <c r="AL19" s="2">
        <f t="shared" si="2"/>
        <v>252.89999999999998</v>
      </c>
    </row>
    <row r="20" spans="2:38" s="2" customFormat="1" x14ac:dyDescent="0.2">
      <c r="B20" s="2" t="s">
        <v>83</v>
      </c>
      <c r="C20" s="7"/>
      <c r="D20" s="7"/>
      <c r="E20" s="7"/>
      <c r="F20" s="7"/>
      <c r="G20" s="7">
        <v>76.599999999999994</v>
      </c>
      <c r="H20" s="7">
        <v>70.900000000000006</v>
      </c>
      <c r="I20" s="7">
        <v>61.3</v>
      </c>
      <c r="J20" s="7">
        <v>75.5</v>
      </c>
      <c r="K20" s="7">
        <v>73.099999999999994</v>
      </c>
      <c r="L20" s="7">
        <v>62.5</v>
      </c>
      <c r="M20" s="7">
        <v>53.1</v>
      </c>
      <c r="N20" s="7"/>
      <c r="P20" s="2">
        <v>54.5</v>
      </c>
      <c r="Q20" s="2">
        <v>62.7</v>
      </c>
      <c r="R20" s="2">
        <v>62</v>
      </c>
      <c r="S20" s="2">
        <v>58</v>
      </c>
      <c r="T20" s="2">
        <v>58.9</v>
      </c>
      <c r="U20" s="2">
        <v>60.6</v>
      </c>
      <c r="V20" s="2">
        <v>58.2</v>
      </c>
      <c r="W20" s="2">
        <v>60.2</v>
      </c>
      <c r="X20" s="2">
        <f t="shared" si="4"/>
        <v>58.9</v>
      </c>
      <c r="Y20" s="2">
        <f t="shared" si="4"/>
        <v>60.6</v>
      </c>
      <c r="Z20" s="2">
        <f t="shared" si="4"/>
        <v>58.2</v>
      </c>
      <c r="AL20" s="2">
        <f t="shared" si="2"/>
        <v>235.7</v>
      </c>
    </row>
    <row r="21" spans="2:38" s="2" customFormat="1" x14ac:dyDescent="0.2">
      <c r="B21" s="2" t="s">
        <v>84</v>
      </c>
      <c r="C21" s="7"/>
      <c r="D21" s="7"/>
      <c r="E21" s="7"/>
      <c r="F21" s="7"/>
      <c r="G21" s="7">
        <v>57.9</v>
      </c>
      <c r="H21" s="7">
        <v>58.3</v>
      </c>
      <c r="I21" s="7">
        <v>55.8</v>
      </c>
      <c r="J21" s="7">
        <v>54</v>
      </c>
      <c r="K21" s="7">
        <v>53</v>
      </c>
      <c r="L21" s="7">
        <v>42.7</v>
      </c>
      <c r="M21" s="7">
        <v>51</v>
      </c>
      <c r="N21" s="7"/>
      <c r="P21" s="2">
        <v>50.4</v>
      </c>
      <c r="Q21" s="2">
        <v>47.9</v>
      </c>
      <c r="R21" s="2">
        <v>48.2</v>
      </c>
      <c r="S21" s="2">
        <v>42.5</v>
      </c>
      <c r="T21" s="2">
        <v>45.6</v>
      </c>
      <c r="U21" s="2">
        <v>41.2</v>
      </c>
      <c r="V21" s="2">
        <v>37.1</v>
      </c>
      <c r="W21" s="2">
        <v>37.1</v>
      </c>
      <c r="X21" s="2">
        <f t="shared" si="4"/>
        <v>45.6</v>
      </c>
      <c r="Y21" s="2">
        <f t="shared" si="4"/>
        <v>41.2</v>
      </c>
      <c r="Z21" s="2">
        <f t="shared" si="4"/>
        <v>37.1</v>
      </c>
      <c r="AL21" s="2">
        <f t="shared" si="2"/>
        <v>166.4</v>
      </c>
    </row>
    <row r="22" spans="2:38" s="2" customFormat="1" x14ac:dyDescent="0.2">
      <c r="B22" s="2" t="s">
        <v>92</v>
      </c>
      <c r="C22" s="7"/>
      <c r="D22" s="7"/>
      <c r="E22" s="7"/>
      <c r="F22" s="7"/>
      <c r="G22" s="7"/>
      <c r="H22" s="7"/>
      <c r="I22" s="7">
        <v>161.19999999999999</v>
      </c>
      <c r="J22" s="7">
        <v>134</v>
      </c>
      <c r="K22" s="7"/>
      <c r="L22" s="7"/>
      <c r="M22" s="7">
        <v>159.30000000000001</v>
      </c>
      <c r="N22" s="7"/>
      <c r="AL22" s="2">
        <f t="shared" si="2"/>
        <v>0</v>
      </c>
    </row>
    <row r="23" spans="2:38" s="2" customFormat="1" x14ac:dyDescent="0.2">
      <c r="B23" s="2" t="s">
        <v>85</v>
      </c>
      <c r="C23" s="7"/>
      <c r="D23" s="7"/>
      <c r="E23" s="7"/>
      <c r="F23" s="7"/>
      <c r="G23" s="7">
        <v>40.299999999999997</v>
      </c>
      <c r="H23" s="7">
        <v>54.6</v>
      </c>
      <c r="I23" s="7">
        <v>35</v>
      </c>
      <c r="J23" s="7">
        <v>38.1</v>
      </c>
      <c r="K23" s="7">
        <v>44</v>
      </c>
      <c r="L23" s="7">
        <v>55.5</v>
      </c>
      <c r="M23" s="7">
        <v>38.6</v>
      </c>
      <c r="N23" s="7"/>
      <c r="P23" s="2">
        <v>57.7</v>
      </c>
      <c r="Q23" s="2">
        <v>44.1</v>
      </c>
      <c r="R23" s="2">
        <v>45</v>
      </c>
      <c r="S23" s="2">
        <v>48.2</v>
      </c>
      <c r="T23" s="2">
        <v>55</v>
      </c>
      <c r="U23" s="2">
        <v>43.5</v>
      </c>
      <c r="V23" s="2">
        <v>41.3</v>
      </c>
      <c r="W23" s="2">
        <v>42.8</v>
      </c>
      <c r="X23" s="2">
        <f>+T23*1.01</f>
        <v>55.55</v>
      </c>
      <c r="Y23" s="2">
        <f>+U23*1.01</f>
        <v>43.935000000000002</v>
      </c>
      <c r="Z23" s="2">
        <f>+V23*1.01</f>
        <v>41.713000000000001</v>
      </c>
      <c r="AL23" s="2">
        <f t="shared" si="2"/>
        <v>188</v>
      </c>
    </row>
    <row r="24" spans="2:38" s="2" customFormat="1" x14ac:dyDescent="0.2">
      <c r="B24" s="2" t="s">
        <v>86</v>
      </c>
      <c r="C24" s="7"/>
      <c r="D24" s="7"/>
      <c r="E24" s="7"/>
      <c r="F24" s="7"/>
      <c r="G24" s="7">
        <v>36.9</v>
      </c>
      <c r="H24" s="7">
        <v>41.8</v>
      </c>
      <c r="I24" s="7">
        <v>39.4</v>
      </c>
      <c r="J24" s="7">
        <v>43.8</v>
      </c>
      <c r="K24" s="7">
        <v>43.7</v>
      </c>
      <c r="L24" s="7">
        <v>49.1</v>
      </c>
      <c r="M24" s="7">
        <v>53.4</v>
      </c>
      <c r="N24" s="7"/>
      <c r="P24" s="2">
        <v>55</v>
      </c>
      <c r="Q24" s="2">
        <v>58.3</v>
      </c>
      <c r="R24" s="2">
        <v>60.5</v>
      </c>
      <c r="S24" s="2">
        <v>55.2</v>
      </c>
      <c r="T24" s="2">
        <v>54.5</v>
      </c>
      <c r="U24" s="2">
        <v>62.2</v>
      </c>
      <c r="V24" s="2">
        <v>66.599999999999994</v>
      </c>
      <c r="W24" s="2">
        <v>58.3</v>
      </c>
      <c r="X24" s="2">
        <f t="shared" ref="X24:X26" si="5">+T24*1.01</f>
        <v>55.045000000000002</v>
      </c>
      <c r="Y24" s="2">
        <f t="shared" ref="Y24:Y26" si="6">+U24*1.01</f>
        <v>62.822000000000003</v>
      </c>
      <c r="Z24" s="2">
        <f t="shared" ref="Z24:Z26" si="7">+V24*1.01</f>
        <v>67.265999999999991</v>
      </c>
      <c r="AL24" s="2">
        <f t="shared" si="2"/>
        <v>238.5</v>
      </c>
    </row>
    <row r="25" spans="2:38" s="2" customFormat="1" x14ac:dyDescent="0.2">
      <c r="B25" s="2" t="s">
        <v>87</v>
      </c>
      <c r="C25" s="7"/>
      <c r="D25" s="7"/>
      <c r="E25" s="7"/>
      <c r="F25" s="7"/>
      <c r="G25" s="7">
        <v>45.9</v>
      </c>
      <c r="H25" s="7">
        <v>52.1</v>
      </c>
      <c r="I25" s="7">
        <v>49.5</v>
      </c>
      <c r="J25" s="7">
        <v>54</v>
      </c>
      <c r="K25" s="7">
        <v>41.8</v>
      </c>
      <c r="L25" s="7">
        <v>44.1</v>
      </c>
      <c r="M25" s="7">
        <v>39.4</v>
      </c>
      <c r="N25" s="7"/>
      <c r="P25" s="2">
        <v>41.5</v>
      </c>
      <c r="Q25" s="2">
        <v>37.700000000000003</v>
      </c>
      <c r="R25" s="2">
        <v>41.2</v>
      </c>
      <c r="S25" s="2">
        <v>30</v>
      </c>
      <c r="T25" s="2">
        <v>36.9</v>
      </c>
      <c r="U25" s="2">
        <v>38.200000000000003</v>
      </c>
      <c r="V25" s="2">
        <v>41.1</v>
      </c>
      <c r="W25" s="2">
        <v>33.299999999999997</v>
      </c>
      <c r="X25" s="2">
        <f t="shared" si="5"/>
        <v>37.268999999999998</v>
      </c>
      <c r="Y25" s="2">
        <f t="shared" si="6"/>
        <v>38.582000000000001</v>
      </c>
      <c r="Z25" s="2">
        <f t="shared" si="7"/>
        <v>41.511000000000003</v>
      </c>
      <c r="AL25" s="2">
        <f t="shared" si="2"/>
        <v>146.20000000000002</v>
      </c>
    </row>
    <row r="26" spans="2:38" s="2" customFormat="1" x14ac:dyDescent="0.2">
      <c r="B26" s="2" t="s">
        <v>88</v>
      </c>
      <c r="C26" s="7"/>
      <c r="D26" s="7"/>
      <c r="E26" s="7"/>
      <c r="F26" s="7"/>
      <c r="G26" s="7">
        <v>45.1</v>
      </c>
      <c r="H26" s="7">
        <v>48.8</v>
      </c>
      <c r="I26" s="7">
        <v>47.6</v>
      </c>
      <c r="J26" s="7">
        <v>44.4</v>
      </c>
      <c r="K26" s="7">
        <v>40</v>
      </c>
      <c r="L26" s="7">
        <v>37.200000000000003</v>
      </c>
      <c r="M26" s="7">
        <v>38.299999999999997</v>
      </c>
      <c r="N26" s="7"/>
      <c r="P26" s="2">
        <v>51.8</v>
      </c>
      <c r="Q26" s="2">
        <v>28.2</v>
      </c>
      <c r="R26" s="2">
        <v>35.1</v>
      </c>
      <c r="S26" s="2">
        <v>34.5</v>
      </c>
      <c r="T26" s="2">
        <v>35.4</v>
      </c>
      <c r="U26" s="2">
        <v>38.6</v>
      </c>
      <c r="V26" s="2">
        <v>36.5</v>
      </c>
      <c r="W26" s="2">
        <v>32.299999999999997</v>
      </c>
      <c r="X26" s="2">
        <f t="shared" si="5"/>
        <v>35.753999999999998</v>
      </c>
      <c r="Y26" s="2">
        <f t="shared" si="6"/>
        <v>38.986000000000004</v>
      </c>
      <c r="Z26" s="2">
        <f t="shared" si="7"/>
        <v>36.865000000000002</v>
      </c>
      <c r="AL26" s="2">
        <f t="shared" si="2"/>
        <v>145</v>
      </c>
    </row>
    <row r="28" spans="2:38" s="2" customFormat="1" x14ac:dyDescent="0.2">
      <c r="B28" s="2" t="s">
        <v>20</v>
      </c>
      <c r="C28" s="7"/>
      <c r="D28" s="7"/>
      <c r="E28" s="7"/>
      <c r="F28" s="7">
        <v>3587.7</v>
      </c>
      <c r="G28" s="7">
        <v>4400.1000000000004</v>
      </c>
      <c r="H28" s="7">
        <v>4561.7</v>
      </c>
      <c r="I28" s="7">
        <v>4520.5</v>
      </c>
      <c r="J28" s="7">
        <v>4331.3</v>
      </c>
      <c r="K28" s="7">
        <v>4178.2</v>
      </c>
      <c r="L28" s="7">
        <v>4105.3999999999996</v>
      </c>
      <c r="M28" s="7">
        <v>4067.4</v>
      </c>
      <c r="N28" s="7"/>
      <c r="P28" s="2">
        <v>3909.5</v>
      </c>
      <c r="Q28" s="2">
        <v>3933.9</v>
      </c>
      <c r="R28" s="2">
        <v>3825.9</v>
      </c>
      <c r="S28" s="2">
        <v>3653.5</v>
      </c>
      <c r="T28" s="2">
        <v>3785.9</v>
      </c>
      <c r="U28" s="2">
        <v>3738</v>
      </c>
      <c r="V28" s="2">
        <v>3515.4</v>
      </c>
      <c r="W28" s="2">
        <v>3243.2</v>
      </c>
      <c r="X28" s="2">
        <f t="shared" ref="X28:Z29" si="8">+T28*0.9</f>
        <v>3407.31</v>
      </c>
      <c r="Y28" s="2">
        <f t="shared" si="8"/>
        <v>3364.2000000000003</v>
      </c>
      <c r="Z28" s="2">
        <f t="shared" si="8"/>
        <v>3163.86</v>
      </c>
      <c r="AH28" s="2">
        <v>11819.9</v>
      </c>
      <c r="AI28" s="2">
        <f>SUM(AI7:AI10)</f>
        <v>17813.599999999999</v>
      </c>
      <c r="AJ28" s="2">
        <f>SUM(AJ7:AJ10)</f>
        <v>16218.099999999999</v>
      </c>
      <c r="AK28" s="2">
        <v>15388.4</v>
      </c>
      <c r="AL28" s="2">
        <f t="shared" si="2"/>
        <v>14692.8</v>
      </c>
    </row>
    <row r="29" spans="2:38" s="2" customFormat="1" x14ac:dyDescent="0.2">
      <c r="B29" s="2" t="s">
        <v>21</v>
      </c>
      <c r="C29" s="7"/>
      <c r="D29" s="7"/>
      <c r="E29" s="7"/>
      <c r="F29" s="7">
        <v>35.799999999999997</v>
      </c>
      <c r="G29" s="7">
        <v>30.2</v>
      </c>
      <c r="H29" s="7">
        <v>16.100000000000001</v>
      </c>
      <c r="I29" s="7">
        <v>16.100000000000001</v>
      </c>
      <c r="J29" s="7">
        <v>10.3</v>
      </c>
      <c r="K29" s="7">
        <v>13.5</v>
      </c>
      <c r="L29" s="7">
        <v>11.4</v>
      </c>
      <c r="M29" s="7">
        <v>10.8</v>
      </c>
      <c r="N29" s="7"/>
      <c r="P29" s="2">
        <v>9.1</v>
      </c>
      <c r="Q29" s="2">
        <v>8</v>
      </c>
      <c r="R29" s="2">
        <v>11.4</v>
      </c>
      <c r="S29" s="2">
        <v>9.9</v>
      </c>
      <c r="T29" s="2">
        <v>10.7</v>
      </c>
      <c r="U29" s="2">
        <v>13.2</v>
      </c>
      <c r="V29" s="2">
        <v>12.7</v>
      </c>
      <c r="W29" s="2">
        <v>11.1</v>
      </c>
      <c r="X29" s="2">
        <f t="shared" si="8"/>
        <v>9.629999999999999</v>
      </c>
      <c r="Y29" s="2">
        <f t="shared" si="8"/>
        <v>11.879999999999999</v>
      </c>
      <c r="Z29" s="2">
        <f t="shared" si="8"/>
        <v>11.43</v>
      </c>
      <c r="AH29" s="2">
        <v>126.1</v>
      </c>
      <c r="AI29" s="2">
        <v>72.7</v>
      </c>
      <c r="AJ29" s="2">
        <v>44.6</v>
      </c>
      <c r="AK29" s="2">
        <v>38.5</v>
      </c>
      <c r="AL29" s="2">
        <f t="shared" si="2"/>
        <v>46.5</v>
      </c>
    </row>
    <row r="30" spans="2:38" s="8" customFormat="1" x14ac:dyDescent="0.2">
      <c r="B30" s="8" t="s">
        <v>9</v>
      </c>
      <c r="C30" s="9"/>
      <c r="D30" s="9"/>
      <c r="E30" s="9"/>
      <c r="F30" s="9">
        <f t="shared" ref="F30:Z30" si="9">+F28+F29</f>
        <v>3623.5</v>
      </c>
      <c r="G30" s="9">
        <f t="shared" si="9"/>
        <v>4430.3</v>
      </c>
      <c r="H30" s="9">
        <f t="shared" si="9"/>
        <v>4577.8</v>
      </c>
      <c r="I30" s="9">
        <f t="shared" si="9"/>
        <v>4536.6000000000004</v>
      </c>
      <c r="J30" s="9">
        <f t="shared" si="9"/>
        <v>4341.6000000000004</v>
      </c>
      <c r="K30" s="9">
        <f t="shared" si="9"/>
        <v>4191.7</v>
      </c>
      <c r="L30" s="9">
        <f t="shared" si="9"/>
        <v>4116.7999999999993</v>
      </c>
      <c r="M30" s="9">
        <f t="shared" si="9"/>
        <v>4078.2000000000003</v>
      </c>
      <c r="N30" s="9">
        <f t="shared" si="9"/>
        <v>0</v>
      </c>
      <c r="O30" s="9">
        <f t="shared" si="9"/>
        <v>0</v>
      </c>
      <c r="P30" s="9">
        <f t="shared" si="9"/>
        <v>3918.6</v>
      </c>
      <c r="Q30" s="9">
        <f t="shared" si="9"/>
        <v>3941.9</v>
      </c>
      <c r="R30" s="9">
        <f t="shared" si="9"/>
        <v>3837.3</v>
      </c>
      <c r="S30" s="9">
        <f t="shared" si="9"/>
        <v>3663.4</v>
      </c>
      <c r="T30" s="9">
        <f t="shared" si="9"/>
        <v>3796.6</v>
      </c>
      <c r="U30" s="9">
        <f t="shared" si="9"/>
        <v>3751.2</v>
      </c>
      <c r="V30" s="9">
        <f t="shared" si="9"/>
        <v>3528.1</v>
      </c>
      <c r="W30" s="9">
        <f t="shared" si="9"/>
        <v>3254.2999999999997</v>
      </c>
      <c r="X30" s="9">
        <f t="shared" si="9"/>
        <v>3416.94</v>
      </c>
      <c r="Y30" s="9">
        <f t="shared" si="9"/>
        <v>3376.0800000000004</v>
      </c>
      <c r="Z30" s="9">
        <f t="shared" si="9"/>
        <v>3175.29</v>
      </c>
      <c r="AH30" s="8">
        <f>AH28+AH29</f>
        <v>11946</v>
      </c>
      <c r="AI30" s="8">
        <f>AI28+AI29</f>
        <v>17886.3</v>
      </c>
      <c r="AJ30" s="8">
        <f>AJ28+AJ29</f>
        <v>16262.699999999999</v>
      </c>
      <c r="AK30" s="8">
        <f>AK28+AK29</f>
        <v>15426.9</v>
      </c>
      <c r="AL30" s="8">
        <f>AL28+AL29</f>
        <v>14739.3</v>
      </c>
    </row>
    <row r="31" spans="2:38" s="2" customFormat="1" x14ac:dyDescent="0.2">
      <c r="B31" s="2" t="s">
        <v>23</v>
      </c>
      <c r="C31" s="7"/>
      <c r="D31" s="7"/>
      <c r="E31" s="7"/>
      <c r="F31" s="7">
        <v>2917.1</v>
      </c>
      <c r="G31" s="7">
        <v>3303</v>
      </c>
      <c r="H31" s="7">
        <v>3250.1</v>
      </c>
      <c r="I31" s="7">
        <v>2962.5</v>
      </c>
      <c r="J31" s="7">
        <v>2795.2</v>
      </c>
      <c r="K31" s="7">
        <v>2420.5</v>
      </c>
      <c r="L31" s="7">
        <v>2413.5</v>
      </c>
      <c r="M31" s="7">
        <v>2329.8000000000002</v>
      </c>
      <c r="N31" s="7"/>
      <c r="P31" s="2">
        <v>2310</v>
      </c>
      <c r="Q31" s="2">
        <v>2250.6</v>
      </c>
      <c r="R31" s="2">
        <v>2240.8000000000002</v>
      </c>
      <c r="S31" s="2">
        <v>2159.4</v>
      </c>
      <c r="T31" s="2">
        <v>2351.1999999999998</v>
      </c>
      <c r="U31" s="2">
        <v>2292</v>
      </c>
      <c r="V31" s="2">
        <v>2313.1</v>
      </c>
      <c r="W31" s="2">
        <v>2093.1</v>
      </c>
      <c r="X31" s="2">
        <f>+X30-X32</f>
        <v>2186.8415999999997</v>
      </c>
      <c r="Y31" s="2">
        <f>+Y30-Y32</f>
        <v>2160.6912000000002</v>
      </c>
      <c r="Z31" s="2">
        <f>+Z30-Z32</f>
        <v>2032.1856</v>
      </c>
      <c r="AH31" s="2">
        <v>8149.3</v>
      </c>
      <c r="AI31" s="2">
        <v>12310.8</v>
      </c>
      <c r="AJ31" s="2">
        <v>9765.7000000000007</v>
      </c>
      <c r="AK31" s="2">
        <v>8988.2999999999993</v>
      </c>
      <c r="AL31" s="2">
        <v>9115.7000000000007</v>
      </c>
    </row>
    <row r="32" spans="2:38" s="2" customFormat="1" x14ac:dyDescent="0.2">
      <c r="B32" s="2" t="s">
        <v>24</v>
      </c>
      <c r="C32" s="7"/>
      <c r="D32" s="7"/>
      <c r="E32" s="7"/>
      <c r="F32" s="7">
        <f t="shared" ref="F32:M32" si="10">+F30-F31</f>
        <v>706.40000000000009</v>
      </c>
      <c r="G32" s="7">
        <f t="shared" si="10"/>
        <v>1127.3000000000002</v>
      </c>
      <c r="H32" s="7">
        <f t="shared" si="10"/>
        <v>1327.7000000000003</v>
      </c>
      <c r="I32" s="7">
        <f t="shared" si="10"/>
        <v>1574.1000000000004</v>
      </c>
      <c r="J32" s="7">
        <f t="shared" si="10"/>
        <v>1546.4000000000005</v>
      </c>
      <c r="K32" s="7">
        <f t="shared" si="10"/>
        <v>1771.1999999999998</v>
      </c>
      <c r="L32" s="7">
        <f t="shared" si="10"/>
        <v>1703.2999999999993</v>
      </c>
      <c r="M32" s="7">
        <f t="shared" si="10"/>
        <v>1748.4</v>
      </c>
      <c r="N32" s="7"/>
      <c r="P32" s="2">
        <f t="shared" ref="P32:W32" si="11">+P30-P31</f>
        <v>1608.6</v>
      </c>
      <c r="Q32" s="2">
        <f t="shared" si="11"/>
        <v>1691.3000000000002</v>
      </c>
      <c r="R32" s="2">
        <f t="shared" si="11"/>
        <v>1596.5</v>
      </c>
      <c r="S32" s="2">
        <f t="shared" si="11"/>
        <v>1504</v>
      </c>
      <c r="T32" s="2">
        <f t="shared" si="11"/>
        <v>1445.4</v>
      </c>
      <c r="U32" s="2">
        <f t="shared" si="11"/>
        <v>1459.1999999999998</v>
      </c>
      <c r="V32" s="2">
        <f t="shared" si="11"/>
        <v>1215</v>
      </c>
      <c r="W32" s="2">
        <f t="shared" si="11"/>
        <v>1161.1999999999998</v>
      </c>
      <c r="X32" s="2">
        <f>+X30*0.36</f>
        <v>1230.0984000000001</v>
      </c>
      <c r="Y32" s="2">
        <f>+Y30*0.36</f>
        <v>1215.3888000000002</v>
      </c>
      <c r="Z32" s="2">
        <f>+Z30*0.36</f>
        <v>1143.1043999999999</v>
      </c>
      <c r="AH32" s="2">
        <f>AH30-AH31</f>
        <v>3796.7</v>
      </c>
      <c r="AI32" s="2">
        <f>AI30-AI31</f>
        <v>5575.5</v>
      </c>
      <c r="AJ32" s="2">
        <f>AJ30-AJ31</f>
        <v>6496.9999999999982</v>
      </c>
      <c r="AK32" s="2">
        <f>AK30-AK31</f>
        <v>6438.6</v>
      </c>
      <c r="AL32" s="2">
        <f>AL30-AL31</f>
        <v>5623.5999999999985</v>
      </c>
    </row>
    <row r="33" spans="2:38" s="2" customFormat="1" x14ac:dyDescent="0.2">
      <c r="B33" s="2" t="s">
        <v>25</v>
      </c>
      <c r="C33" s="7"/>
      <c r="D33" s="7"/>
      <c r="E33" s="7"/>
      <c r="F33" s="7">
        <v>154.80000000000001</v>
      </c>
      <c r="G33" s="7">
        <v>184.1</v>
      </c>
      <c r="H33" s="7">
        <v>147.69999999999999</v>
      </c>
      <c r="I33" s="7">
        <v>152.1</v>
      </c>
      <c r="J33" s="7">
        <v>267.2</v>
      </c>
      <c r="K33" s="7">
        <v>142.30000000000001</v>
      </c>
      <c r="L33" s="7">
        <v>162.6</v>
      </c>
      <c r="M33" s="7">
        <v>174.9</v>
      </c>
      <c r="N33" s="7"/>
      <c r="P33" s="2">
        <v>208.3</v>
      </c>
      <c r="Q33" s="2">
        <v>211.2</v>
      </c>
      <c r="R33" s="2">
        <v>202.8</v>
      </c>
      <c r="S33" s="2">
        <v>199.7</v>
      </c>
      <c r="T33" s="2">
        <v>204.1</v>
      </c>
      <c r="U33" s="2">
        <v>198.4</v>
      </c>
      <c r="V33" s="2">
        <v>206.5</v>
      </c>
      <c r="W33" s="2">
        <v>222</v>
      </c>
      <c r="X33" s="2">
        <f t="shared" ref="X33:Z34" si="12">+T33</f>
        <v>204.1</v>
      </c>
      <c r="Y33" s="2">
        <f t="shared" si="12"/>
        <v>198.4</v>
      </c>
      <c r="Z33" s="2">
        <f t="shared" si="12"/>
        <v>206.5</v>
      </c>
      <c r="AH33" s="2">
        <v>512.6</v>
      </c>
      <c r="AI33" s="2">
        <v>681</v>
      </c>
      <c r="AJ33" s="2">
        <v>662.2</v>
      </c>
      <c r="AK33" s="2">
        <v>805.2</v>
      </c>
      <c r="AL33" s="2">
        <v>808.7</v>
      </c>
    </row>
    <row r="34" spans="2:38" s="2" customFormat="1" x14ac:dyDescent="0.2">
      <c r="B34" s="2" t="s">
        <v>26</v>
      </c>
      <c r="C34" s="7"/>
      <c r="D34" s="7"/>
      <c r="E34" s="7"/>
      <c r="F34" s="7">
        <v>1361.4</v>
      </c>
      <c r="G34" s="7">
        <v>1186.5</v>
      </c>
      <c r="H34" s="7">
        <v>1204.8</v>
      </c>
      <c r="I34" s="7">
        <v>1055</v>
      </c>
      <c r="J34" s="7">
        <v>1082.9000000000001</v>
      </c>
      <c r="K34" s="7">
        <v>915.3</v>
      </c>
      <c r="L34" s="7">
        <v>981.1</v>
      </c>
      <c r="M34" s="7">
        <v>1017.3</v>
      </c>
      <c r="N34" s="7"/>
      <c r="P34" s="2">
        <v>1031.9000000000001</v>
      </c>
      <c r="Q34" s="2">
        <v>1053.5</v>
      </c>
      <c r="R34" s="2">
        <v>1605.8</v>
      </c>
      <c r="S34" s="2">
        <v>1017.5</v>
      </c>
      <c r="T34" s="2">
        <v>1358</v>
      </c>
      <c r="U34" s="2">
        <v>1003.4</v>
      </c>
      <c r="V34" s="2">
        <v>1046.7</v>
      </c>
      <c r="W34" s="2">
        <v>948.1</v>
      </c>
      <c r="X34" s="2">
        <f t="shared" si="12"/>
        <v>1358</v>
      </c>
      <c r="Y34" s="2">
        <f t="shared" si="12"/>
        <v>1003.4</v>
      </c>
      <c r="Z34" s="2">
        <f t="shared" si="12"/>
        <v>1046.7</v>
      </c>
      <c r="AH34" s="2">
        <v>3344.6</v>
      </c>
      <c r="AI34" s="2">
        <v>4529.2</v>
      </c>
      <c r="AJ34" s="2">
        <v>4179.1000000000004</v>
      </c>
      <c r="AK34" s="2">
        <v>4650.1000000000004</v>
      </c>
      <c r="AL34" s="2">
        <v>4425.6000000000004</v>
      </c>
    </row>
    <row r="35" spans="2:38" s="2" customFormat="1" x14ac:dyDescent="0.2">
      <c r="B35" s="2" t="s">
        <v>27</v>
      </c>
      <c r="C35" s="7"/>
      <c r="D35" s="7"/>
      <c r="E35" s="7"/>
      <c r="F35" s="7">
        <f t="shared" ref="F35:M35" si="13">+F33+F34</f>
        <v>1516.2</v>
      </c>
      <c r="G35" s="7">
        <f t="shared" si="13"/>
        <v>1370.6</v>
      </c>
      <c r="H35" s="7">
        <f t="shared" si="13"/>
        <v>1352.5</v>
      </c>
      <c r="I35" s="7">
        <f t="shared" si="13"/>
        <v>1207.0999999999999</v>
      </c>
      <c r="J35" s="7">
        <f t="shared" si="13"/>
        <v>1350.1000000000001</v>
      </c>
      <c r="K35" s="7">
        <f t="shared" si="13"/>
        <v>1057.5999999999999</v>
      </c>
      <c r="L35" s="7">
        <f t="shared" si="13"/>
        <v>1143.7</v>
      </c>
      <c r="M35" s="7">
        <f t="shared" si="13"/>
        <v>1192.2</v>
      </c>
      <c r="N35" s="7"/>
      <c r="P35" s="2">
        <f>+P33+P34</f>
        <v>1240.2</v>
      </c>
      <c r="Q35" s="2">
        <f t="shared" ref="Q35" si="14">+Q33+Q34</f>
        <v>1264.7</v>
      </c>
      <c r="R35" s="2">
        <f t="shared" ref="R35:V35" si="15">+R33+R34</f>
        <v>1808.6</v>
      </c>
      <c r="S35" s="2">
        <f t="shared" si="15"/>
        <v>1217.2</v>
      </c>
      <c r="T35" s="2">
        <f t="shared" si="15"/>
        <v>1562.1</v>
      </c>
      <c r="U35" s="2">
        <f t="shared" si="15"/>
        <v>1201.8</v>
      </c>
      <c r="V35" s="2">
        <f t="shared" si="15"/>
        <v>1253.2</v>
      </c>
      <c r="W35" s="2">
        <f>+W33+W34</f>
        <v>1170.0999999999999</v>
      </c>
      <c r="X35" s="2">
        <f>+X33+X34</f>
        <v>1562.1</v>
      </c>
      <c r="Y35" s="2">
        <f>+Y33+Y34</f>
        <v>1201.8</v>
      </c>
      <c r="Z35" s="2">
        <f>+Z33+Z34</f>
        <v>1253.2</v>
      </c>
      <c r="AH35" s="2">
        <f>AH33+AH34</f>
        <v>3857.2</v>
      </c>
      <c r="AI35" s="2">
        <f t="shared" ref="AI35:AL35" si="16">AI33+AI34</f>
        <v>5210.2</v>
      </c>
      <c r="AJ35" s="2">
        <f t="shared" si="16"/>
        <v>4841.3</v>
      </c>
      <c r="AK35" s="2">
        <f t="shared" si="16"/>
        <v>5455.3</v>
      </c>
      <c r="AL35" s="2">
        <f t="shared" si="16"/>
        <v>5234.3</v>
      </c>
    </row>
    <row r="36" spans="2:38" s="2" customFormat="1" x14ac:dyDescent="0.2">
      <c r="B36" s="2" t="s">
        <v>28</v>
      </c>
      <c r="C36" s="7"/>
      <c r="D36" s="7"/>
      <c r="E36" s="7"/>
      <c r="F36" s="7">
        <f t="shared" ref="F36:M36" si="17">+F32-F35</f>
        <v>-809.8</v>
      </c>
      <c r="G36" s="7">
        <f t="shared" si="17"/>
        <v>-243.29999999999973</v>
      </c>
      <c r="H36" s="7">
        <f t="shared" si="17"/>
        <v>-24.799999999999727</v>
      </c>
      <c r="I36" s="7">
        <f t="shared" si="17"/>
        <v>367.00000000000045</v>
      </c>
      <c r="J36" s="7">
        <f t="shared" si="17"/>
        <v>196.30000000000041</v>
      </c>
      <c r="K36" s="7">
        <f t="shared" si="17"/>
        <v>713.59999999999991</v>
      </c>
      <c r="L36" s="7">
        <f t="shared" si="17"/>
        <v>559.59999999999923</v>
      </c>
      <c r="M36" s="7">
        <f t="shared" si="17"/>
        <v>556.20000000000005</v>
      </c>
      <c r="N36" s="7"/>
      <c r="P36" s="2">
        <f>+P32-P35</f>
        <v>368.39999999999986</v>
      </c>
      <c r="Q36" s="2">
        <f t="shared" ref="Q36" si="18">+Q32-Q35</f>
        <v>426.60000000000014</v>
      </c>
      <c r="R36" s="2">
        <f t="shared" ref="R36:Z36" si="19">+R32-R35</f>
        <v>-212.09999999999991</v>
      </c>
      <c r="S36" s="2">
        <f t="shared" si="19"/>
        <v>286.79999999999995</v>
      </c>
      <c r="T36" s="2">
        <f t="shared" si="19"/>
        <v>-116.69999999999982</v>
      </c>
      <c r="U36" s="2">
        <f t="shared" si="19"/>
        <v>257.39999999999986</v>
      </c>
      <c r="V36" s="2">
        <f t="shared" si="19"/>
        <v>-38.200000000000045</v>
      </c>
      <c r="W36" s="2">
        <f t="shared" si="19"/>
        <v>-8.9000000000000909</v>
      </c>
      <c r="X36" s="2">
        <f t="shared" si="19"/>
        <v>-332.00159999999983</v>
      </c>
      <c r="Y36" s="2">
        <f t="shared" si="19"/>
        <v>13.588800000000219</v>
      </c>
      <c r="Z36" s="2">
        <f t="shared" si="19"/>
        <v>-110.0956000000001</v>
      </c>
      <c r="AH36" s="2">
        <f>AH32-AH35</f>
        <v>-60.5</v>
      </c>
      <c r="AI36" s="2">
        <f t="shared" ref="AI36:AL36" si="20">AI32-AI35</f>
        <v>365.30000000000018</v>
      </c>
      <c r="AJ36" s="2">
        <f t="shared" si="20"/>
        <v>1655.699999999998</v>
      </c>
      <c r="AK36" s="2">
        <f t="shared" si="20"/>
        <v>983.30000000000018</v>
      </c>
      <c r="AL36" s="2">
        <f t="shared" si="20"/>
        <v>389.29999999999836</v>
      </c>
    </row>
    <row r="37" spans="2:38" s="2" customFormat="1" x14ac:dyDescent="0.2">
      <c r="B37" s="2" t="s">
        <v>29</v>
      </c>
      <c r="C37" s="7"/>
      <c r="D37" s="7"/>
      <c r="E37" s="7"/>
      <c r="F37" s="7">
        <f>-144.4+12</f>
        <v>-132.4</v>
      </c>
      <c r="G37" s="7">
        <f>-169-6.1</f>
        <v>-175.1</v>
      </c>
      <c r="H37" s="7">
        <f>-167.1-4.2</f>
        <v>-171.29999999999998</v>
      </c>
      <c r="I37" s="7">
        <f>-151.9-5.8</f>
        <v>-157.70000000000002</v>
      </c>
      <c r="J37" s="7">
        <f>-148.2+21.9</f>
        <v>-126.29999999999998</v>
      </c>
      <c r="K37" s="7">
        <f>-146.2-33.7</f>
        <v>-179.89999999999998</v>
      </c>
      <c r="L37" s="7">
        <f>-145.9-13.5</f>
        <v>-159.4</v>
      </c>
      <c r="M37" s="7">
        <f>-153.2+20.6</f>
        <v>-132.6</v>
      </c>
      <c r="N37" s="7"/>
      <c r="P37" s="2">
        <v>-143.69999999999999</v>
      </c>
      <c r="Q37" s="2">
        <v>-141.5</v>
      </c>
      <c r="R37" s="2">
        <v>-140.9</v>
      </c>
      <c r="S37" s="2">
        <v>-138.4</v>
      </c>
      <c r="T37" s="2">
        <v>-145.80000000000001</v>
      </c>
      <c r="U37" s="2">
        <v>-145.6</v>
      </c>
      <c r="V37" s="2">
        <v>-120.2</v>
      </c>
      <c r="W37" s="2">
        <v>-111.5</v>
      </c>
      <c r="X37" s="2">
        <f>+W37</f>
        <v>-111.5</v>
      </c>
      <c r="Y37" s="2">
        <f>+X37</f>
        <v>-111.5</v>
      </c>
      <c r="Z37" s="2">
        <f>+Y37</f>
        <v>-111.5</v>
      </c>
      <c r="AH37" s="2">
        <v>-497.8</v>
      </c>
      <c r="AI37" s="2">
        <v>-636.20000000000005</v>
      </c>
      <c r="AJ37" s="2">
        <v>-592.4</v>
      </c>
      <c r="AK37" s="2">
        <v>-573.1</v>
      </c>
      <c r="AL37" s="2">
        <v>-550</v>
      </c>
    </row>
    <row r="38" spans="2:38" s="2" customFormat="1" x14ac:dyDescent="0.2">
      <c r="B38" s="2" t="s">
        <v>30</v>
      </c>
      <c r="C38" s="7"/>
      <c r="D38" s="7"/>
      <c r="E38" s="7"/>
      <c r="F38" s="7">
        <f t="shared" ref="F38:P38" si="21">+F36+F37</f>
        <v>-942.19999999999993</v>
      </c>
      <c r="G38" s="7">
        <f t="shared" si="21"/>
        <v>-418.39999999999975</v>
      </c>
      <c r="H38" s="7">
        <f t="shared" si="21"/>
        <v>-196.09999999999971</v>
      </c>
      <c r="I38" s="7">
        <f t="shared" si="21"/>
        <v>209.30000000000044</v>
      </c>
      <c r="J38" s="7">
        <f t="shared" si="21"/>
        <v>70.000000000000426</v>
      </c>
      <c r="K38" s="7">
        <f t="shared" si="21"/>
        <v>533.69999999999993</v>
      </c>
      <c r="L38" s="7">
        <f t="shared" si="21"/>
        <v>400.19999999999925</v>
      </c>
      <c r="M38" s="7">
        <f t="shared" si="21"/>
        <v>423.6</v>
      </c>
      <c r="N38" s="7"/>
      <c r="O38" s="7"/>
      <c r="P38" s="7">
        <f t="shared" si="21"/>
        <v>224.69999999999987</v>
      </c>
      <c r="Q38" s="2">
        <f t="shared" ref="Q38:V38" si="22">+Q36+Q37</f>
        <v>285.10000000000014</v>
      </c>
      <c r="R38" s="2">
        <f t="shared" si="22"/>
        <v>-352.99999999999989</v>
      </c>
      <c r="S38" s="2">
        <f t="shared" si="22"/>
        <v>148.39999999999995</v>
      </c>
      <c r="T38" s="2">
        <f t="shared" si="22"/>
        <v>-262.49999999999983</v>
      </c>
      <c r="U38" s="2">
        <f t="shared" si="22"/>
        <v>111.79999999999987</v>
      </c>
      <c r="V38" s="2">
        <f t="shared" si="22"/>
        <v>-158.40000000000003</v>
      </c>
      <c r="W38" s="2">
        <f>+W36+W37</f>
        <v>-120.40000000000009</v>
      </c>
      <c r="X38" s="2">
        <f>+X36+X37</f>
        <v>-443.50159999999983</v>
      </c>
      <c r="Y38" s="2">
        <f>+Y36+Y37</f>
        <v>-97.911199999999781</v>
      </c>
      <c r="Z38" s="2">
        <f>+Z36+Z37</f>
        <v>-221.5956000000001</v>
      </c>
      <c r="AH38" s="2">
        <f>AH36+AH37</f>
        <v>-558.29999999999995</v>
      </c>
      <c r="AI38" s="2">
        <f t="shared" ref="AI38:AL38" si="23">AI36+AI37</f>
        <v>-270.89999999999986</v>
      </c>
      <c r="AJ38" s="2">
        <f t="shared" si="23"/>
        <v>1063.2999999999979</v>
      </c>
      <c r="AK38" s="2">
        <f t="shared" si="23"/>
        <v>410.20000000000016</v>
      </c>
      <c r="AL38" s="2">
        <f t="shared" si="23"/>
        <v>-160.70000000000164</v>
      </c>
    </row>
    <row r="39" spans="2:38" s="2" customFormat="1" x14ac:dyDescent="0.2">
      <c r="B39" s="2" t="s">
        <v>32</v>
      </c>
      <c r="C39" s="7"/>
      <c r="D39" s="7"/>
      <c r="E39" s="7"/>
      <c r="F39" s="7">
        <v>0</v>
      </c>
      <c r="G39" s="7">
        <v>596.29999999999995</v>
      </c>
      <c r="H39" s="7">
        <v>60.1</v>
      </c>
      <c r="I39" s="7">
        <v>0</v>
      </c>
      <c r="J39" s="7">
        <v>59.9</v>
      </c>
      <c r="K39" s="7">
        <v>128.30000000000001</v>
      </c>
      <c r="L39" s="7">
        <v>75.400000000000006</v>
      </c>
      <c r="M39" s="7">
        <v>73.2</v>
      </c>
      <c r="N39" s="7"/>
      <c r="P39" s="2">
        <v>69</v>
      </c>
      <c r="Q39" s="2">
        <v>-141.5</v>
      </c>
      <c r="R39" s="2">
        <v>0</v>
      </c>
      <c r="S39" s="2">
        <v>0</v>
      </c>
      <c r="T39" s="2">
        <v>-65.400000000000006</v>
      </c>
      <c r="U39" s="2">
        <v>-145.6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H39" s="2">
        <v>0</v>
      </c>
      <c r="AI39" s="2">
        <v>0</v>
      </c>
      <c r="AJ39" s="2">
        <v>734.6</v>
      </c>
      <c r="AK39" s="2">
        <v>0</v>
      </c>
      <c r="AL39" s="2">
        <v>0</v>
      </c>
    </row>
    <row r="40" spans="2:38" s="2" customFormat="1" x14ac:dyDescent="0.2">
      <c r="B40" s="2" t="s">
        <v>31</v>
      </c>
      <c r="C40" s="7"/>
      <c r="D40" s="7"/>
      <c r="E40" s="7"/>
      <c r="F40" s="7">
        <f t="shared" ref="F40:P40" si="24">+F38-F39</f>
        <v>-942.19999999999993</v>
      </c>
      <c r="G40" s="7">
        <f t="shared" si="24"/>
        <v>-1014.6999999999997</v>
      </c>
      <c r="H40" s="7">
        <f t="shared" si="24"/>
        <v>-256.1999999999997</v>
      </c>
      <c r="I40" s="7">
        <f t="shared" si="24"/>
        <v>209.30000000000044</v>
      </c>
      <c r="J40" s="7">
        <f t="shared" si="24"/>
        <v>10.100000000000428</v>
      </c>
      <c r="K40" s="7">
        <f t="shared" si="24"/>
        <v>405.39999999999992</v>
      </c>
      <c r="L40" s="7">
        <f t="shared" si="24"/>
        <v>324.79999999999927</v>
      </c>
      <c r="M40" s="7">
        <f t="shared" si="24"/>
        <v>350.40000000000003</v>
      </c>
      <c r="N40" s="7"/>
      <c r="O40" s="7"/>
      <c r="P40" s="7">
        <f t="shared" si="24"/>
        <v>155.69999999999987</v>
      </c>
      <c r="Q40" s="2">
        <f t="shared" ref="Q40:R40" si="25">+Q38+Q39</f>
        <v>143.60000000000014</v>
      </c>
      <c r="R40" s="2">
        <f t="shared" si="25"/>
        <v>-352.99999999999989</v>
      </c>
      <c r="S40" s="2">
        <f t="shared" ref="S40:Z40" si="26">+S38+S39</f>
        <v>148.39999999999995</v>
      </c>
      <c r="T40" s="2">
        <f t="shared" si="26"/>
        <v>-327.89999999999986</v>
      </c>
      <c r="U40" s="2">
        <f t="shared" si="26"/>
        <v>-33.800000000000125</v>
      </c>
      <c r="V40" s="2">
        <f t="shared" si="26"/>
        <v>-158.40000000000003</v>
      </c>
      <c r="W40" s="2">
        <f t="shared" si="26"/>
        <v>-120.40000000000009</v>
      </c>
      <c r="X40" s="2">
        <f t="shared" si="26"/>
        <v>-443.50159999999983</v>
      </c>
      <c r="Y40" s="2">
        <f t="shared" si="26"/>
        <v>-97.911199999999781</v>
      </c>
      <c r="Z40" s="2">
        <f t="shared" si="26"/>
        <v>-221.5956000000001</v>
      </c>
      <c r="AH40" s="2">
        <f>AH38-AH39</f>
        <v>-558.29999999999995</v>
      </c>
      <c r="AI40" s="2">
        <f>AI38-AI39</f>
        <v>-270.89999999999986</v>
      </c>
      <c r="AJ40" s="2">
        <f>AJ38-AJ39</f>
        <v>328.69999999999789</v>
      </c>
      <c r="AK40" s="2">
        <f>AK38-AK39</f>
        <v>410.20000000000016</v>
      </c>
      <c r="AL40" s="2">
        <f>AL38-AL39</f>
        <v>-160.70000000000164</v>
      </c>
    </row>
    <row r="41" spans="2:38" s="1" customFormat="1" x14ac:dyDescent="0.2">
      <c r="B41" s="1" t="s">
        <v>33</v>
      </c>
      <c r="C41" s="5"/>
      <c r="D41" s="5"/>
      <c r="E41" s="5"/>
      <c r="F41" s="5">
        <f t="shared" ref="F41:M41" si="27">+F40/F42</f>
        <v>-1.1027621722846441</v>
      </c>
      <c r="G41" s="5">
        <f t="shared" si="27"/>
        <v>-0.8403312629399583</v>
      </c>
      <c r="H41" s="5">
        <f t="shared" si="27"/>
        <v>-0.21194573130377209</v>
      </c>
      <c r="I41" s="5">
        <f t="shared" si="27"/>
        <v>0.17260432129308961</v>
      </c>
      <c r="J41" s="5">
        <f t="shared" si="27"/>
        <v>8.3512485530018409E-3</v>
      </c>
      <c r="K41" s="5">
        <f t="shared" si="27"/>
        <v>0.33418514549501271</v>
      </c>
      <c r="L41" s="5">
        <f t="shared" si="27"/>
        <v>0.26686385670856899</v>
      </c>
      <c r="M41" s="5">
        <f t="shared" si="27"/>
        <v>0.28766111156719487</v>
      </c>
      <c r="N41" s="5"/>
      <c r="P41" s="1">
        <f t="shared" ref="P41:Z41" si="28">+P40/P42</f>
        <v>0.12937266306605724</v>
      </c>
      <c r="Q41" s="1">
        <f t="shared" si="28"/>
        <v>0.11891354753229559</v>
      </c>
      <c r="R41" s="1">
        <f t="shared" si="28"/>
        <v>-0.29414215482043155</v>
      </c>
      <c r="S41" s="1">
        <f t="shared" si="28"/>
        <v>0.12269532864820169</v>
      </c>
      <c r="T41" s="1">
        <f t="shared" si="28"/>
        <v>-0.27529174712450666</v>
      </c>
      <c r="U41" s="1">
        <f t="shared" si="28"/>
        <v>-2.8157280906364646E-2</v>
      </c>
      <c r="V41" s="1">
        <f t="shared" si="28"/>
        <v>-0.13270777479892765</v>
      </c>
      <c r="W41" s="1">
        <f t="shared" si="28"/>
        <v>-0.10097282791009735</v>
      </c>
      <c r="X41" s="1">
        <f t="shared" si="28"/>
        <v>-0.37194028849379385</v>
      </c>
      <c r="Y41" s="1">
        <f t="shared" si="28"/>
        <v>-8.2112713854411087E-2</v>
      </c>
      <c r="Z41" s="1">
        <f t="shared" si="28"/>
        <v>-0.18583998658168407</v>
      </c>
      <c r="AH41" s="1">
        <f>AH40/AH42</f>
        <v>-0.92864271457085812</v>
      </c>
      <c r="AI41" s="1">
        <f t="shared" ref="AI41:AL41" si="29">AI40/AI42</f>
        <v>-0.22410655195234933</v>
      </c>
      <c r="AJ41" s="1">
        <f t="shared" si="29"/>
        <v>0.27000164284540651</v>
      </c>
      <c r="AK41" s="1">
        <f t="shared" si="29"/>
        <v>0.33987902891706034</v>
      </c>
      <c r="AL41" s="1">
        <f t="shared" si="29"/>
        <v>-0.13466856616106732</v>
      </c>
    </row>
    <row r="42" spans="2:38" s="2" customFormat="1" x14ac:dyDescent="0.2">
      <c r="B42" s="2" t="s">
        <v>1</v>
      </c>
      <c r="C42" s="7"/>
      <c r="D42" s="7"/>
      <c r="E42" s="7"/>
      <c r="F42" s="7">
        <v>854.4</v>
      </c>
      <c r="G42" s="7">
        <v>1207.5</v>
      </c>
      <c r="H42" s="7">
        <v>1208.8</v>
      </c>
      <c r="I42" s="7">
        <v>1212.5999999999999</v>
      </c>
      <c r="J42" s="7">
        <v>1209.4000000000001</v>
      </c>
      <c r="K42" s="7">
        <v>1213.0999999999999</v>
      </c>
      <c r="L42" s="7">
        <v>1217.0999999999999</v>
      </c>
      <c r="M42" s="7">
        <v>1218.0999999999999</v>
      </c>
      <c r="N42" s="7"/>
      <c r="P42" s="2">
        <v>1203.5</v>
      </c>
      <c r="Q42" s="2">
        <v>1207.5999999999999</v>
      </c>
      <c r="R42" s="2">
        <v>1200.0999999999999</v>
      </c>
      <c r="S42" s="2">
        <v>1209.5</v>
      </c>
      <c r="T42" s="2">
        <v>1191.0999999999999</v>
      </c>
      <c r="U42" s="2">
        <v>1200.4000000000001</v>
      </c>
      <c r="V42" s="2">
        <v>1193.5999999999999</v>
      </c>
      <c r="W42" s="2">
        <v>1192.4000000000001</v>
      </c>
      <c r="X42" s="2">
        <f>+W42</f>
        <v>1192.4000000000001</v>
      </c>
      <c r="Y42" s="2">
        <f>+X42</f>
        <v>1192.4000000000001</v>
      </c>
      <c r="Z42" s="2">
        <f>+Y42</f>
        <v>1192.4000000000001</v>
      </c>
      <c r="AH42" s="2">
        <v>601.20000000000005</v>
      </c>
      <c r="AI42" s="2">
        <v>1208.8</v>
      </c>
      <c r="AJ42" s="2">
        <v>1217.4000000000001</v>
      </c>
      <c r="AK42" s="2">
        <v>1206.9000000000001</v>
      </c>
      <c r="AL42" s="2">
        <v>1193.3</v>
      </c>
    </row>
    <row r="45" spans="2:38" x14ac:dyDescent="0.2">
      <c r="B45" s="2" t="s">
        <v>34</v>
      </c>
      <c r="I45" s="4"/>
      <c r="J45" s="4">
        <f>J30/F30-1</f>
        <v>0.19817855664412876</v>
      </c>
      <c r="K45" s="4">
        <f>K30/G30-1</f>
        <v>-5.3856397986592364E-2</v>
      </c>
      <c r="L45" s="4">
        <f>L30/H30-1</f>
        <v>-0.10070339464371547</v>
      </c>
      <c r="M45" s="4">
        <f>M30/I30-1</f>
        <v>-0.1010448353392408</v>
      </c>
      <c r="T45" s="10">
        <f t="shared" ref="T45" si="30">+T30/P30-1</f>
        <v>-3.113356811106005E-2</v>
      </c>
      <c r="U45" s="10">
        <f t="shared" ref="U45" si="31">+U30/Q30-1</f>
        <v>-4.8377685887516231E-2</v>
      </c>
      <c r="V45" s="10">
        <f>+V30/R30-1</f>
        <v>-8.057748938055409E-2</v>
      </c>
      <c r="W45" s="10">
        <f>+W30/S30-1</f>
        <v>-0.11167221706611352</v>
      </c>
      <c r="X45" s="10">
        <f t="shared" ref="X45:Z45" si="32">+X30/T30-1</f>
        <v>-9.9999999999999978E-2</v>
      </c>
      <c r="Y45" s="10">
        <f t="shared" si="32"/>
        <v>-9.9999999999999867E-2</v>
      </c>
      <c r="Z45" s="10">
        <f t="shared" si="32"/>
        <v>-9.9999999999999978E-2</v>
      </c>
      <c r="AI45" s="10">
        <f>AI30/AH30-1</f>
        <v>0.49726268206931179</v>
      </c>
      <c r="AJ45" s="10">
        <f t="shared" ref="AJ45:AL45" si="33">AJ30/AI30-1</f>
        <v>-9.0773385216618374E-2</v>
      </c>
      <c r="AK45" s="10">
        <f t="shared" si="33"/>
        <v>-5.1393680016233456E-2</v>
      </c>
      <c r="AL45" s="10">
        <f t="shared" si="33"/>
        <v>-4.4571495245318227E-2</v>
      </c>
    </row>
    <row r="46" spans="2:38" x14ac:dyDescent="0.2">
      <c r="B46" t="s">
        <v>22</v>
      </c>
      <c r="F46" s="4">
        <f t="shared" ref="F46:M46" si="34">+F32/F30</f>
        <v>0.19494963433144752</v>
      </c>
      <c r="G46" s="4">
        <f t="shared" si="34"/>
        <v>0.254452294427014</v>
      </c>
      <c r="H46" s="4">
        <f t="shared" si="34"/>
        <v>0.29003014548473072</v>
      </c>
      <c r="I46" s="4">
        <f t="shared" si="34"/>
        <v>0.34697791297447433</v>
      </c>
      <c r="J46" s="4">
        <f t="shared" si="34"/>
        <v>0.35618205269946573</v>
      </c>
      <c r="K46" s="4">
        <f t="shared" si="34"/>
        <v>0.42254932366343007</v>
      </c>
      <c r="L46" s="4">
        <f t="shared" si="34"/>
        <v>0.41374368441507958</v>
      </c>
      <c r="M46" s="4">
        <f t="shared" si="34"/>
        <v>0.4287185523024864</v>
      </c>
      <c r="R46" s="10">
        <f t="shared" ref="R46:U46" si="35">+R32/R30</f>
        <v>0.41604774190185806</v>
      </c>
      <c r="S46" s="10">
        <f t="shared" si="35"/>
        <v>0.410547578751979</v>
      </c>
      <c r="T46" s="10">
        <f t="shared" si="35"/>
        <v>0.38070905547068434</v>
      </c>
      <c r="U46" s="10">
        <f t="shared" si="35"/>
        <v>0.38899552143314137</v>
      </c>
      <c r="V46" s="10">
        <f>+V32/V30</f>
        <v>0.34437799382103684</v>
      </c>
      <c r="W46" s="10">
        <f>+W32/W30</f>
        <v>0.35682020711059209</v>
      </c>
      <c r="X46" s="10">
        <f t="shared" ref="X46:Z46" si="36">+X32/X30</f>
        <v>0.36000000000000004</v>
      </c>
      <c r="Y46" s="10">
        <f t="shared" si="36"/>
        <v>0.36</v>
      </c>
      <c r="Z46" s="10">
        <f t="shared" si="36"/>
        <v>0.36</v>
      </c>
      <c r="AH46" s="10">
        <f>AH32/AH30</f>
        <v>0.31782186505943411</v>
      </c>
      <c r="AI46" s="10">
        <f>AI32/AI30</f>
        <v>0.31171902517569317</v>
      </c>
      <c r="AJ46" s="10">
        <f>AJ32/AJ30</f>
        <v>0.39950315753226701</v>
      </c>
      <c r="AK46" s="10">
        <f>AK32/AK30</f>
        <v>0.41736188087042764</v>
      </c>
      <c r="AL46" s="10">
        <f>AL32/AL30</f>
        <v>0.38153779351800959</v>
      </c>
    </row>
    <row r="48" spans="2:38" x14ac:dyDescent="0.2">
      <c r="B48" t="s">
        <v>94</v>
      </c>
      <c r="T48" s="2">
        <f>+T49-T61</f>
        <v>-16181.400000000001</v>
      </c>
      <c r="U48" s="2">
        <f>+U49-U61</f>
        <v>0</v>
      </c>
      <c r="V48" s="2">
        <f>+V49-V61</f>
        <v>-13312.4</v>
      </c>
      <c r="W48" s="2">
        <f>+W49-W61</f>
        <v>-13431</v>
      </c>
      <c r="AJ48" s="2">
        <f>AJ49-AJ61</f>
        <v>-18014.399999999998</v>
      </c>
    </row>
    <row r="49" spans="2:36" s="2" customFormat="1" x14ac:dyDescent="0.2">
      <c r="B49" s="2" t="s">
        <v>3</v>
      </c>
      <c r="C49" s="7"/>
      <c r="D49" s="7"/>
      <c r="E49" s="7"/>
      <c r="F49" s="7"/>
      <c r="G49" s="7"/>
      <c r="H49" s="7"/>
      <c r="I49" s="7"/>
      <c r="J49" s="7"/>
      <c r="K49" s="7">
        <v>752.4</v>
      </c>
      <c r="L49" s="7">
        <v>664.7</v>
      </c>
      <c r="M49" s="7">
        <v>646.70000000000005</v>
      </c>
      <c r="N49" s="7"/>
      <c r="T49" s="2">
        <v>917.2</v>
      </c>
      <c r="V49" s="2">
        <v>734.8</v>
      </c>
      <c r="W49" s="2">
        <v>755</v>
      </c>
      <c r="AJ49" s="2">
        <v>1259.9000000000001</v>
      </c>
    </row>
    <row r="50" spans="2:36" s="2" customFormat="1" x14ac:dyDescent="0.2">
      <c r="B50" s="2" t="s">
        <v>36</v>
      </c>
      <c r="C50" s="7"/>
      <c r="D50" s="7"/>
      <c r="E50" s="7"/>
      <c r="F50" s="7"/>
      <c r="G50" s="7"/>
      <c r="H50" s="7"/>
      <c r="I50" s="7"/>
      <c r="J50" s="7"/>
      <c r="K50" s="7">
        <v>4093.9</v>
      </c>
      <c r="L50" s="7">
        <v>3736.2</v>
      </c>
      <c r="M50" s="7">
        <v>3333.9</v>
      </c>
      <c r="N50" s="7"/>
      <c r="T50" s="2">
        <v>3566.9</v>
      </c>
      <c r="V50" s="2">
        <v>3221.3</v>
      </c>
      <c r="W50" s="2">
        <v>3125.7</v>
      </c>
      <c r="AJ50" s="2">
        <v>3814.5</v>
      </c>
    </row>
    <row r="51" spans="2:36" s="2" customFormat="1" x14ac:dyDescent="0.2">
      <c r="B51" s="2" t="s">
        <v>37</v>
      </c>
      <c r="C51" s="7"/>
      <c r="D51" s="7"/>
      <c r="E51" s="7"/>
      <c r="F51" s="7"/>
      <c r="G51" s="7"/>
      <c r="H51" s="7"/>
      <c r="I51" s="7"/>
      <c r="J51" s="7"/>
      <c r="K51" s="7">
        <v>3797.3</v>
      </c>
      <c r="L51" s="7">
        <v>3612.5</v>
      </c>
      <c r="M51" s="7">
        <v>3380.4</v>
      </c>
      <c r="N51" s="7"/>
      <c r="T51" s="2">
        <v>3942.1</v>
      </c>
      <c r="V51" s="2">
        <v>3854.1</v>
      </c>
      <c r="W51" s="2">
        <v>4096.3999999999996</v>
      </c>
      <c r="AJ51" s="2">
        <v>3519.5</v>
      </c>
    </row>
    <row r="52" spans="2:36" s="2" customFormat="1" x14ac:dyDescent="0.2">
      <c r="B52" s="2" t="s">
        <v>38</v>
      </c>
      <c r="C52" s="7"/>
      <c r="D52" s="7"/>
      <c r="E52" s="7"/>
      <c r="F52" s="7"/>
      <c r="G52" s="7"/>
      <c r="H52" s="7"/>
      <c r="I52" s="7"/>
      <c r="J52" s="7"/>
      <c r="K52" s="7">
        <v>1763.6</v>
      </c>
      <c r="L52" s="7">
        <v>1697.7</v>
      </c>
      <c r="M52" s="7">
        <v>1700.4</v>
      </c>
      <c r="N52" s="7"/>
      <c r="T52" s="2">
        <v>1757</v>
      </c>
      <c r="V52" s="2">
        <v>1710.5</v>
      </c>
      <c r="W52" s="2">
        <v>1645.3</v>
      </c>
      <c r="AJ52" s="2">
        <v>1811.2</v>
      </c>
    </row>
    <row r="53" spans="2:36" s="2" customFormat="1" x14ac:dyDescent="0.2">
      <c r="B53" s="2" t="s">
        <v>39</v>
      </c>
      <c r="C53" s="7"/>
      <c r="D53" s="7"/>
      <c r="E53" s="7"/>
      <c r="F53" s="7"/>
      <c r="G53" s="7"/>
      <c r="H53" s="7"/>
      <c r="I53" s="7"/>
      <c r="J53" s="7"/>
      <c r="K53" s="7">
        <v>1337.1</v>
      </c>
      <c r="L53" s="7">
        <v>1465.4</v>
      </c>
      <c r="M53" s="7">
        <v>1426.4</v>
      </c>
      <c r="N53" s="7"/>
      <c r="T53" s="2">
        <v>1608.9</v>
      </c>
      <c r="V53" s="2">
        <v>0</v>
      </c>
      <c r="W53" s="2">
        <v>0</v>
      </c>
      <c r="AJ53" s="2">
        <v>230.3</v>
      </c>
    </row>
    <row r="54" spans="2:36" s="2" customFormat="1" x14ac:dyDescent="0.2">
      <c r="B54" s="2" t="s">
        <v>40</v>
      </c>
      <c r="C54" s="7"/>
      <c r="D54" s="7"/>
      <c r="E54" s="7"/>
      <c r="F54" s="7"/>
      <c r="G54" s="7"/>
      <c r="H54" s="7"/>
      <c r="I54" s="7"/>
      <c r="J54" s="7"/>
      <c r="K54" s="7">
        <v>3150.2</v>
      </c>
      <c r="L54" s="7">
        <v>3083.9</v>
      </c>
      <c r="M54" s="7">
        <v>3039</v>
      </c>
      <c r="N54" s="7"/>
      <c r="T54" s="2">
        <v>2662.6</v>
      </c>
      <c r="V54" s="2">
        <v>0</v>
      </c>
      <c r="W54" s="2">
        <v>2635.6</v>
      </c>
      <c r="AJ54" s="2">
        <v>3024.5</v>
      </c>
    </row>
    <row r="55" spans="2:36" s="2" customFormat="1" x14ac:dyDescent="0.2">
      <c r="B55" s="2" t="s">
        <v>41</v>
      </c>
      <c r="C55" s="7"/>
      <c r="D55" s="7"/>
      <c r="E55" s="7"/>
      <c r="F55" s="7"/>
      <c r="G55" s="7"/>
      <c r="H55" s="7"/>
      <c r="I55" s="7"/>
      <c r="J55" s="7"/>
      <c r="K55" s="7">
        <f>25251.8+10978.8</f>
        <v>36230.6</v>
      </c>
      <c r="L55" s="7">
        <f>24101.1+10523</f>
        <v>34624.1</v>
      </c>
      <c r="M55" s="7">
        <f>23013.3+10054.6</f>
        <v>33067.9</v>
      </c>
      <c r="N55" s="7"/>
      <c r="T55" s="2">
        <f>18419+9325.9</f>
        <v>27744.9</v>
      </c>
      <c r="V55" s="2">
        <f>17070.9+9133.3</f>
        <v>26204.2</v>
      </c>
      <c r="W55" s="2">
        <f>16662.3+6462.1</f>
        <v>23124.400000000001</v>
      </c>
      <c r="AJ55" s="8">
        <f>10425.8+22607.1</f>
        <v>33032.899999999994</v>
      </c>
    </row>
    <row r="56" spans="2:36" s="2" customFormat="1" x14ac:dyDescent="0.2">
      <c r="B56" s="2" t="s">
        <v>32</v>
      </c>
      <c r="C56" s="7"/>
      <c r="D56" s="7"/>
      <c r="E56" s="7"/>
      <c r="F56" s="7"/>
      <c r="G56" s="7"/>
      <c r="H56" s="7"/>
      <c r="I56" s="7"/>
      <c r="J56" s="7"/>
      <c r="K56" s="7">
        <v>1285.8</v>
      </c>
      <c r="L56" s="7">
        <v>1243.2</v>
      </c>
      <c r="M56" s="7">
        <v>1104</v>
      </c>
      <c r="N56" s="7"/>
      <c r="T56" s="2">
        <v>685.3</v>
      </c>
      <c r="V56" s="2">
        <v>0</v>
      </c>
      <c r="W56" s="2">
        <v>817.6</v>
      </c>
      <c r="AJ56" s="2">
        <v>925.9</v>
      </c>
    </row>
    <row r="57" spans="2:36" s="2" customFormat="1" x14ac:dyDescent="0.2">
      <c r="B57" s="2" t="s">
        <v>42</v>
      </c>
      <c r="C57" s="7"/>
      <c r="D57" s="7"/>
      <c r="E57" s="7"/>
      <c r="F57" s="7"/>
      <c r="G57" s="7"/>
      <c r="H57" s="7"/>
      <c r="I57" s="7"/>
      <c r="J57" s="7"/>
      <c r="K57" s="7">
        <v>1056</v>
      </c>
      <c r="L57" s="7">
        <v>997.4</v>
      </c>
      <c r="M57" s="7">
        <v>963.9</v>
      </c>
      <c r="N57" s="7"/>
      <c r="T57" s="2">
        <v>2445.1</v>
      </c>
      <c r="V57" s="2">
        <v>5776</v>
      </c>
      <c r="W57" s="2">
        <v>2274.9</v>
      </c>
      <c r="AJ57" s="2">
        <v>2403.5</v>
      </c>
    </row>
    <row r="58" spans="2:36" s="2" customFormat="1" x14ac:dyDescent="0.2">
      <c r="B58" s="2" t="s">
        <v>35</v>
      </c>
      <c r="C58" s="7"/>
      <c r="D58" s="7"/>
      <c r="E58" s="7"/>
      <c r="F58" s="7"/>
      <c r="G58" s="7"/>
      <c r="H58" s="7"/>
      <c r="I58" s="7"/>
      <c r="J58" s="7"/>
      <c r="K58" s="7">
        <f>SUM(K49:K57)</f>
        <v>53466.9</v>
      </c>
      <c r="L58" s="7">
        <f>SUM(L49:L57)</f>
        <v>51125.1</v>
      </c>
      <c r="M58" s="7">
        <f>SUM(M49:M57)</f>
        <v>48662.6</v>
      </c>
      <c r="N58" s="7"/>
      <c r="T58" s="2">
        <f>SUM(T49:T57)</f>
        <v>45330.000000000007</v>
      </c>
      <c r="U58" s="2">
        <f t="shared" ref="U58:W58" si="37">SUM(U49:U57)</f>
        <v>0</v>
      </c>
      <c r="V58" s="2">
        <f t="shared" si="37"/>
        <v>41500.9</v>
      </c>
      <c r="W58" s="2">
        <f t="shared" si="37"/>
        <v>38474.9</v>
      </c>
      <c r="AJ58" s="8">
        <f>SUM(AJ49:AJ57)</f>
        <v>50022.2</v>
      </c>
    </row>
    <row r="60" spans="2:36" s="2" customFormat="1" x14ac:dyDescent="0.2">
      <c r="B60" s="2" t="s">
        <v>44</v>
      </c>
      <c r="C60" s="7"/>
      <c r="D60" s="7"/>
      <c r="E60" s="7"/>
      <c r="F60" s="7"/>
      <c r="G60" s="7"/>
      <c r="H60" s="7"/>
      <c r="I60" s="7"/>
      <c r="J60" s="7"/>
      <c r="K60" s="7">
        <v>1499.6</v>
      </c>
      <c r="L60" s="7">
        <v>1670.1</v>
      </c>
      <c r="M60" s="7">
        <v>1310.5</v>
      </c>
      <c r="N60" s="7"/>
      <c r="T60" s="2">
        <v>1957.5</v>
      </c>
      <c r="W60" s="2">
        <v>1988.4</v>
      </c>
      <c r="AJ60" s="2">
        <v>1766.6</v>
      </c>
    </row>
    <row r="61" spans="2:36" s="2" customFormat="1" x14ac:dyDescent="0.2">
      <c r="B61" s="2" t="s">
        <v>4</v>
      </c>
      <c r="C61" s="7"/>
      <c r="D61" s="7"/>
      <c r="E61" s="7"/>
      <c r="F61" s="7"/>
      <c r="G61" s="7"/>
      <c r="H61" s="7"/>
      <c r="I61" s="7"/>
      <c r="J61" s="7"/>
      <c r="K61" s="7">
        <f>655.4+18762.5+2606.1</f>
        <v>22024</v>
      </c>
      <c r="L61" s="7">
        <f>1019.7+19206.4+768.2</f>
        <v>20994.300000000003</v>
      </c>
      <c r="M61" s="7">
        <f>500.4+18724.5+763.8</f>
        <v>19988.7</v>
      </c>
      <c r="N61" s="7"/>
      <c r="T61" s="2">
        <f>2367.4+14731.2</f>
        <v>17098.600000000002</v>
      </c>
      <c r="V61" s="2">
        <f>14038.9+8.3</f>
        <v>14047.199999999999</v>
      </c>
      <c r="W61" s="2">
        <f>8.5+14177.5</f>
        <v>14186</v>
      </c>
      <c r="AJ61" s="2">
        <f>18015.2+1259.1</f>
        <v>19274.3</v>
      </c>
    </row>
    <row r="62" spans="2:36" s="2" customFormat="1" x14ac:dyDescent="0.2">
      <c r="B62" s="2" t="s">
        <v>32</v>
      </c>
      <c r="C62" s="7"/>
      <c r="D62" s="7"/>
      <c r="E62" s="7"/>
      <c r="F62" s="7"/>
      <c r="G62" s="7"/>
      <c r="H62" s="7"/>
      <c r="I62" s="7"/>
      <c r="J62" s="7"/>
      <c r="K62" s="7">
        <f>177.8+2729.5</f>
        <v>2907.3</v>
      </c>
      <c r="L62" s="7">
        <f>125.7+2617.9</f>
        <v>2743.6</v>
      </c>
      <c r="M62" s="7">
        <f>106.7+2489.3</f>
        <v>2596</v>
      </c>
      <c r="N62" s="7"/>
      <c r="T62" s="2">
        <f>117.7+1573.8</f>
        <v>1691.5</v>
      </c>
      <c r="W62" s="2">
        <f>93.4+1082.5</f>
        <v>1175.9000000000001</v>
      </c>
      <c r="AJ62" s="2">
        <f>279.6+2432</f>
        <v>2711.6</v>
      </c>
    </row>
    <row r="63" spans="2:36" s="2" customFormat="1" x14ac:dyDescent="0.2">
      <c r="B63" s="2" t="s">
        <v>39</v>
      </c>
      <c r="C63" s="7"/>
      <c r="D63" s="7"/>
      <c r="E63" s="7"/>
      <c r="F63" s="7"/>
      <c r="G63" s="7"/>
      <c r="H63" s="7"/>
      <c r="I63" s="7"/>
      <c r="J63" s="7"/>
      <c r="K63" s="7">
        <v>277.7</v>
      </c>
      <c r="L63" s="7">
        <v>285.10000000000002</v>
      </c>
      <c r="M63" s="7">
        <v>335.3</v>
      </c>
      <c r="N63" s="7"/>
      <c r="T63" s="2">
        <v>32.799999999999997</v>
      </c>
      <c r="AJ63" s="2">
        <v>0</v>
      </c>
    </row>
    <row r="64" spans="2:36" s="2" customFormat="1" x14ac:dyDescent="0.2">
      <c r="B64" s="2" t="s">
        <v>45</v>
      </c>
      <c r="C64" s="7"/>
      <c r="D64" s="7"/>
      <c r="E64" s="7"/>
      <c r="F64" s="7"/>
      <c r="G64" s="7"/>
      <c r="H64" s="7"/>
      <c r="I64" s="7"/>
      <c r="J64" s="7"/>
      <c r="K64" s="7">
        <v>4426.3</v>
      </c>
      <c r="L64" s="7">
        <v>3812.4</v>
      </c>
      <c r="M64" s="7">
        <v>3504.7</v>
      </c>
      <c r="N64" s="7"/>
      <c r="T64" s="2">
        <v>3233.8</v>
      </c>
      <c r="V64" s="2">
        <v>5771.1</v>
      </c>
      <c r="W64" s="2">
        <v>3629.8</v>
      </c>
      <c r="AJ64" s="2">
        <v>3440.9</v>
      </c>
    </row>
    <row r="65" spans="2:36" s="2" customFormat="1" x14ac:dyDescent="0.2">
      <c r="B65" s="2" t="s">
        <v>46</v>
      </c>
      <c r="C65" s="7"/>
      <c r="D65" s="7"/>
      <c r="E65" s="7"/>
      <c r="F65" s="7"/>
      <c r="G65" s="7"/>
      <c r="H65" s="7"/>
      <c r="I65" s="7"/>
      <c r="J65" s="7"/>
      <c r="K65" s="7">
        <v>1884.3</v>
      </c>
      <c r="L65" s="7">
        <v>1814.2</v>
      </c>
      <c r="M65" s="7">
        <v>1745.1</v>
      </c>
      <c r="N65" s="7"/>
      <c r="T65" s="2">
        <v>1795.8</v>
      </c>
      <c r="V65" s="2">
        <v>3047.1</v>
      </c>
      <c r="W65" s="2">
        <v>1844.4</v>
      </c>
      <c r="AJ65" s="2">
        <v>1756.5</v>
      </c>
    </row>
    <row r="66" spans="2:36" s="2" customFormat="1" x14ac:dyDescent="0.2">
      <c r="B66" s="2" t="s">
        <v>95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AJ66" s="8">
        <f>SUM(AJ60:AJ65)</f>
        <v>28949.899999999998</v>
      </c>
    </row>
    <row r="67" spans="2:36" s="2" customFormat="1" x14ac:dyDescent="0.2">
      <c r="B67" s="2" t="s">
        <v>98</v>
      </c>
      <c r="C67" s="7"/>
      <c r="D67" s="7"/>
      <c r="E67" s="7"/>
      <c r="F67" s="7"/>
      <c r="G67" s="7"/>
      <c r="H67" s="7"/>
      <c r="I67" s="7"/>
      <c r="J67" s="7"/>
      <c r="K67" s="7">
        <v>20447.7</v>
      </c>
      <c r="L67" s="7">
        <v>19805.400000000001</v>
      </c>
      <c r="M67" s="7">
        <v>19182.3</v>
      </c>
      <c r="N67" s="7"/>
      <c r="T67" s="2">
        <v>19520</v>
      </c>
      <c r="V67" s="2">
        <v>18635.5</v>
      </c>
      <c r="W67" s="2">
        <v>15650.4</v>
      </c>
      <c r="AJ67" s="8">
        <f>AJ58-AJ66</f>
        <v>21072.3</v>
      </c>
    </row>
    <row r="68" spans="2:36" s="2" customFormat="1" x14ac:dyDescent="0.2">
      <c r="B68" s="2" t="s">
        <v>43</v>
      </c>
      <c r="C68" s="7"/>
      <c r="D68" s="7"/>
      <c r="E68" s="7"/>
      <c r="F68" s="7"/>
      <c r="G68" s="7"/>
      <c r="H68" s="7"/>
      <c r="I68" s="7"/>
      <c r="J68" s="7"/>
      <c r="K68" s="7">
        <f>SUM(K60:K67)</f>
        <v>53466.899999999994</v>
      </c>
      <c r="L68" s="7">
        <f>SUM(L60:L67)</f>
        <v>51125.100000000006</v>
      </c>
      <c r="M68" s="7">
        <f>SUM(M60:M67)</f>
        <v>48662.6</v>
      </c>
      <c r="N68" s="7"/>
      <c r="T68" s="2">
        <f>SUM(T60:T67)</f>
        <v>45330</v>
      </c>
      <c r="U68" s="2">
        <f t="shared" ref="U68:W68" si="38">SUM(U60:U67)</f>
        <v>0</v>
      </c>
      <c r="V68" s="2">
        <f t="shared" si="38"/>
        <v>41500.899999999994</v>
      </c>
      <c r="W68" s="2">
        <f t="shared" si="38"/>
        <v>38474.9</v>
      </c>
      <c r="AJ68" s="8">
        <f>AJ66+AJ67</f>
        <v>50022.2</v>
      </c>
    </row>
    <row r="69" spans="2:36" s="2" customFormat="1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2:36" s="2" customFormat="1" x14ac:dyDescent="0.2">
      <c r="B70" s="2" t="s">
        <v>96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AJ70" s="2">
        <f>AJ58-AJ66</f>
        <v>21072.3</v>
      </c>
    </row>
    <row r="71" spans="2:36" s="2" customFormat="1" x14ac:dyDescent="0.2">
      <c r="B71" s="2" t="s">
        <v>97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AJ71" s="8">
        <f>AJ70-AJ55</f>
        <v>-11960.599999999995</v>
      </c>
    </row>
    <row r="73" spans="2:36" s="2" customFormat="1" x14ac:dyDescent="0.2">
      <c r="B73" s="2" t="s">
        <v>47</v>
      </c>
      <c r="C73" s="7"/>
      <c r="D73" s="7"/>
      <c r="E73" s="7"/>
      <c r="F73" s="7"/>
      <c r="G73" s="7"/>
      <c r="H73" s="7"/>
      <c r="I73" s="7"/>
      <c r="J73" s="7"/>
      <c r="K73" s="7">
        <f>+K40</f>
        <v>405.39999999999992</v>
      </c>
      <c r="L73" s="7">
        <f>+L40</f>
        <v>324.79999999999927</v>
      </c>
      <c r="M73" s="7"/>
      <c r="N73" s="7"/>
      <c r="P73" s="2">
        <f t="shared" ref="P73:V73" si="39">+P40</f>
        <v>155.69999999999987</v>
      </c>
      <c r="Q73" s="2">
        <f t="shared" si="39"/>
        <v>143.60000000000014</v>
      </c>
      <c r="R73" s="2">
        <f t="shared" si="39"/>
        <v>-352.99999999999989</v>
      </c>
      <c r="S73" s="2">
        <f t="shared" si="39"/>
        <v>148.39999999999995</v>
      </c>
      <c r="T73" s="2">
        <f t="shared" si="39"/>
        <v>-327.89999999999986</v>
      </c>
      <c r="U73" s="2">
        <f t="shared" si="39"/>
        <v>-33.800000000000125</v>
      </c>
      <c r="V73" s="2">
        <f t="shared" si="39"/>
        <v>-158.40000000000003</v>
      </c>
      <c r="W73" s="2">
        <f>+W40</f>
        <v>-120.40000000000009</v>
      </c>
    </row>
    <row r="74" spans="2:36" s="2" customFormat="1" x14ac:dyDescent="0.2">
      <c r="B74" s="2" t="s">
        <v>48</v>
      </c>
      <c r="C74" s="7"/>
      <c r="D74" s="7"/>
      <c r="E74" s="7"/>
      <c r="F74" s="7"/>
      <c r="G74" s="7"/>
      <c r="H74" s="7"/>
      <c r="I74" s="7"/>
      <c r="J74" s="7"/>
      <c r="K74" s="7">
        <v>399.2</v>
      </c>
      <c r="L74" s="7">
        <f>713.1-K74</f>
        <v>313.90000000000003</v>
      </c>
      <c r="M74" s="7"/>
      <c r="N74" s="7"/>
      <c r="W74" s="2">
        <v>-3042</v>
      </c>
    </row>
    <row r="75" spans="2:36" s="2" customFormat="1" x14ac:dyDescent="0.2">
      <c r="B75" s="2" t="s">
        <v>49</v>
      </c>
      <c r="C75" s="7"/>
      <c r="D75" s="7"/>
      <c r="E75" s="7"/>
      <c r="F75" s="7"/>
      <c r="G75" s="7"/>
      <c r="H75" s="7"/>
      <c r="I75" s="7"/>
      <c r="J75" s="7"/>
      <c r="K75" s="7">
        <v>736</v>
      </c>
      <c r="L75" s="7">
        <f>1458.3-K75</f>
        <v>722.3</v>
      </c>
      <c r="M75" s="7"/>
      <c r="N75" s="7"/>
      <c r="W75" s="2">
        <v>664.7</v>
      </c>
    </row>
    <row r="76" spans="2:36" s="2" customFormat="1" x14ac:dyDescent="0.2">
      <c r="B76" s="2" t="s">
        <v>50</v>
      </c>
      <c r="C76" s="7"/>
      <c r="D76" s="7"/>
      <c r="E76" s="7"/>
      <c r="F76" s="7"/>
      <c r="G76" s="7"/>
      <c r="H76" s="7"/>
      <c r="I76" s="7"/>
      <c r="J76" s="7"/>
      <c r="K76" s="7">
        <v>28.3</v>
      </c>
      <c r="L76" s="7">
        <f>57.7-K76</f>
        <v>29.400000000000002</v>
      </c>
      <c r="M76" s="7"/>
      <c r="N76" s="7"/>
      <c r="W76" s="2">
        <v>55.2</v>
      </c>
    </row>
    <row r="77" spans="2:36" s="2" customFormat="1" x14ac:dyDescent="0.2">
      <c r="B77" s="2" t="s">
        <v>51</v>
      </c>
      <c r="C77" s="7"/>
      <c r="D77" s="7"/>
      <c r="E77" s="7"/>
      <c r="F77" s="7"/>
      <c r="G77" s="7"/>
      <c r="H77" s="7"/>
      <c r="I77" s="7"/>
      <c r="J77" s="7"/>
      <c r="K77" s="7">
        <v>-52.8</v>
      </c>
      <c r="L77" s="7">
        <f>-157.6-K77</f>
        <v>-104.8</v>
      </c>
      <c r="M77" s="7"/>
      <c r="N77" s="7"/>
      <c r="W77" s="2">
        <v>-43.6</v>
      </c>
    </row>
    <row r="78" spans="2:36" s="2" customFormat="1" x14ac:dyDescent="0.2">
      <c r="B78" s="2" t="s">
        <v>52</v>
      </c>
      <c r="C78" s="7"/>
      <c r="D78" s="7"/>
      <c r="E78" s="7"/>
      <c r="F78" s="7"/>
      <c r="G78" s="7"/>
      <c r="H78" s="7"/>
      <c r="I78" s="7"/>
      <c r="J78" s="7"/>
      <c r="K78" s="7">
        <v>-0.1</v>
      </c>
      <c r="L78" s="7">
        <f>0-K78</f>
        <v>0.1</v>
      </c>
      <c r="M78" s="7"/>
      <c r="N78" s="7"/>
      <c r="W78" s="2">
        <v>36.9</v>
      </c>
    </row>
    <row r="79" spans="2:36" s="2" customFormat="1" x14ac:dyDescent="0.2">
      <c r="B79" s="2" t="s">
        <v>21</v>
      </c>
      <c r="C79" s="7"/>
      <c r="D79" s="7"/>
      <c r="E79" s="7"/>
      <c r="F79" s="7"/>
      <c r="G79" s="7"/>
      <c r="H79" s="7"/>
      <c r="I79" s="7"/>
      <c r="J79" s="7"/>
      <c r="K79" s="7">
        <v>37.799999999999997</v>
      </c>
      <c r="L79" s="7">
        <f>3.8-K79</f>
        <v>-34</v>
      </c>
      <c r="M79" s="7"/>
      <c r="N79" s="7"/>
      <c r="W79" s="2">
        <f>15+2936.8+203.8</f>
        <v>3155.6000000000004</v>
      </c>
    </row>
    <row r="80" spans="2:36" s="2" customFormat="1" x14ac:dyDescent="0.2">
      <c r="B80" s="2" t="s">
        <v>53</v>
      </c>
      <c r="C80" s="7"/>
      <c r="D80" s="7"/>
      <c r="E80" s="7"/>
      <c r="F80" s="7"/>
      <c r="G80" s="7"/>
      <c r="H80" s="7"/>
      <c r="I80" s="7"/>
      <c r="J80" s="7"/>
      <c r="K80" s="7">
        <v>5.2</v>
      </c>
      <c r="L80" s="7">
        <f>10-K80</f>
        <v>4.8</v>
      </c>
      <c r="M80" s="7"/>
      <c r="N80" s="7"/>
      <c r="W80" s="2">
        <v>-69.400000000000006</v>
      </c>
    </row>
    <row r="81" spans="2:38" s="2" customFormat="1" x14ac:dyDescent="0.2">
      <c r="B81" s="2" t="s">
        <v>54</v>
      </c>
      <c r="C81" s="7"/>
      <c r="D81" s="7"/>
      <c r="E81" s="7"/>
      <c r="F81" s="7"/>
      <c r="G81" s="7"/>
      <c r="H81" s="7"/>
      <c r="I81" s="7"/>
      <c r="J81" s="7"/>
      <c r="K81" s="7">
        <f>-115.5-69.1-30.2+67+132.7</f>
        <v>-15.099999999999994</v>
      </c>
      <c r="L81" s="7">
        <f>-142.3-270.1+254.5+17.8-4.2-K81</f>
        <v>-129.20000000000002</v>
      </c>
      <c r="M81" s="7"/>
      <c r="N81" s="7"/>
      <c r="W81" s="2">
        <f>168-193.7+101.6-120.6-177.2</f>
        <v>-221.89999999999998</v>
      </c>
    </row>
    <row r="82" spans="2:38" s="2" customFormat="1" x14ac:dyDescent="0.2">
      <c r="B82" s="2" t="s">
        <v>65</v>
      </c>
      <c r="C82" s="7"/>
      <c r="D82" s="7"/>
      <c r="E82" s="7"/>
      <c r="F82" s="7"/>
      <c r="G82" s="7"/>
      <c r="H82" s="7"/>
      <c r="I82" s="7"/>
      <c r="J82" s="7"/>
      <c r="K82" s="7">
        <f>SUM(K74:K81)</f>
        <v>1138.5000000000002</v>
      </c>
      <c r="L82" s="7">
        <f>SUM(L74:L81)</f>
        <v>802.50000000000011</v>
      </c>
      <c r="M82" s="7"/>
      <c r="N82" s="7"/>
      <c r="P82" s="2">
        <f t="shared" ref="P82:V82" si="40">SUM(P74:P81)</f>
        <v>0</v>
      </c>
      <c r="Q82" s="2">
        <f t="shared" si="40"/>
        <v>0</v>
      </c>
      <c r="R82" s="2">
        <f t="shared" si="40"/>
        <v>0</v>
      </c>
      <c r="S82" s="2">
        <f t="shared" si="40"/>
        <v>0</v>
      </c>
      <c r="T82" s="2">
        <f t="shared" si="40"/>
        <v>0</v>
      </c>
      <c r="U82" s="2">
        <f t="shared" si="40"/>
        <v>0</v>
      </c>
      <c r="V82" s="2">
        <f t="shared" si="40"/>
        <v>0</v>
      </c>
      <c r="W82" s="2">
        <f>SUM(W74:W81)</f>
        <v>535.50000000000023</v>
      </c>
      <c r="AJ82" s="2">
        <v>2999</v>
      </c>
      <c r="AK82" s="2">
        <v>2900</v>
      </c>
      <c r="AL82" s="2">
        <v>2302.9</v>
      </c>
    </row>
    <row r="83" spans="2:38" s="2" customFormat="1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2:38" s="2" customFormat="1" x14ac:dyDescent="0.2">
      <c r="B84" s="2" t="s">
        <v>60</v>
      </c>
      <c r="C84" s="7"/>
      <c r="D84" s="7"/>
      <c r="E84" s="7"/>
      <c r="F84" s="7"/>
      <c r="G84" s="7"/>
      <c r="H84" s="7"/>
      <c r="I84" s="7"/>
      <c r="J84" s="7"/>
      <c r="K84" s="7">
        <v>-64.5</v>
      </c>
      <c r="L84" s="7">
        <f>-148.4-K84</f>
        <v>-83.9</v>
      </c>
      <c r="M84" s="7"/>
      <c r="N84" s="7"/>
    </row>
    <row r="85" spans="2:38" s="2" customFormat="1" x14ac:dyDescent="0.2">
      <c r="B85" s="2" t="s">
        <v>61</v>
      </c>
      <c r="C85" s="7"/>
      <c r="D85" s="7"/>
      <c r="E85" s="7"/>
      <c r="F85" s="7"/>
      <c r="G85" s="7"/>
      <c r="H85" s="7"/>
      <c r="I85" s="7"/>
      <c r="J85" s="7"/>
      <c r="K85" s="7">
        <f>-8.6+8.5</f>
        <v>-9.9999999999999645E-2</v>
      </c>
      <c r="L85" s="7">
        <f>-13.2+12.8-K85</f>
        <v>-0.29999999999999893</v>
      </c>
      <c r="M85" s="7"/>
      <c r="N85" s="7"/>
    </row>
    <row r="86" spans="2:38" s="2" customFormat="1" x14ac:dyDescent="0.2">
      <c r="B86" s="2" t="s">
        <v>62</v>
      </c>
      <c r="C86" s="7"/>
      <c r="D86" s="7"/>
      <c r="E86" s="7"/>
      <c r="F86" s="7"/>
      <c r="G86" s="7"/>
      <c r="H86" s="7"/>
      <c r="I86" s="7"/>
      <c r="J86" s="7"/>
      <c r="K86" s="7">
        <v>-7.4</v>
      </c>
      <c r="L86" s="7">
        <f>-13-K86</f>
        <v>-5.6</v>
      </c>
      <c r="M86" s="7"/>
      <c r="N86" s="7"/>
    </row>
    <row r="87" spans="2:38" s="2" customFormat="1" x14ac:dyDescent="0.2">
      <c r="B87" s="2" t="s">
        <v>63</v>
      </c>
      <c r="C87" s="7"/>
      <c r="D87" s="7"/>
      <c r="E87" s="7"/>
      <c r="F87" s="7"/>
      <c r="G87" s="7"/>
      <c r="H87" s="7"/>
      <c r="I87" s="7"/>
      <c r="J87" s="7"/>
      <c r="K87" s="7">
        <v>5.0999999999999996</v>
      </c>
      <c r="L87" s="7">
        <f>12.8-K87</f>
        <v>7.7000000000000011</v>
      </c>
      <c r="M87" s="7"/>
      <c r="N87" s="7"/>
    </row>
    <row r="88" spans="2:38" s="2" customFormat="1" x14ac:dyDescent="0.2">
      <c r="B88" s="2" t="s">
        <v>64</v>
      </c>
      <c r="C88" s="7"/>
      <c r="D88" s="7"/>
      <c r="E88" s="7"/>
      <c r="F88" s="7"/>
      <c r="G88" s="7"/>
      <c r="H88" s="7"/>
      <c r="I88" s="7"/>
      <c r="J88" s="7"/>
      <c r="K88" s="7">
        <f>SUM(K84:K87)</f>
        <v>-66.900000000000006</v>
      </c>
      <c r="L88" s="7">
        <f>SUM(L84:L87)</f>
        <v>-82.1</v>
      </c>
      <c r="M88" s="7"/>
      <c r="N88" s="7"/>
    </row>
    <row r="89" spans="2:38" s="2" customFormat="1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2:38" s="2" customFormat="1" x14ac:dyDescent="0.2">
      <c r="B90" s="2" t="s">
        <v>55</v>
      </c>
      <c r="C90" s="7"/>
      <c r="D90" s="7"/>
      <c r="E90" s="7"/>
      <c r="F90" s="7"/>
      <c r="G90" s="7"/>
      <c r="H90" s="7"/>
      <c r="I90" s="7"/>
      <c r="J90" s="7"/>
      <c r="K90" s="7">
        <f>0.1-0.1-837.9-0.4-0.2</f>
        <v>-838.5</v>
      </c>
      <c r="L90" s="7">
        <f>795.4-1787-473.5-1.3+0.7-0.2-K90</f>
        <v>-627.39999999999986</v>
      </c>
      <c r="M90" s="7"/>
      <c r="N90" s="7"/>
    </row>
    <row r="91" spans="2:38" s="2" customFormat="1" x14ac:dyDescent="0.2">
      <c r="B91" s="2" t="s">
        <v>56</v>
      </c>
      <c r="C91" s="7"/>
      <c r="D91" s="7"/>
      <c r="E91" s="7"/>
      <c r="F91" s="7"/>
      <c r="G91" s="7"/>
      <c r="H91" s="7"/>
      <c r="I91" s="7"/>
      <c r="J91" s="7"/>
      <c r="K91" s="7">
        <v>-9.9</v>
      </c>
      <c r="L91" s="7">
        <f>-13.2-K91</f>
        <v>-3.2999999999999989</v>
      </c>
      <c r="M91" s="7"/>
      <c r="N91" s="7"/>
    </row>
    <row r="92" spans="2:38" s="2" customFormat="1" x14ac:dyDescent="0.2">
      <c r="B92" s="2" t="s">
        <v>57</v>
      </c>
      <c r="C92" s="7"/>
      <c r="D92" s="7"/>
      <c r="E92" s="7"/>
      <c r="F92" s="7"/>
      <c r="G92" s="7"/>
      <c r="H92" s="7"/>
      <c r="I92" s="7"/>
      <c r="J92" s="7"/>
      <c r="K92" s="7">
        <v>-15.5</v>
      </c>
      <c r="L92" s="7">
        <f>-18.9-K92</f>
        <v>-3.3999999999999986</v>
      </c>
      <c r="M92" s="7"/>
      <c r="N92" s="7"/>
    </row>
    <row r="93" spans="2:38" s="2" customFormat="1" x14ac:dyDescent="0.2">
      <c r="B93" s="2" t="s">
        <v>58</v>
      </c>
      <c r="C93" s="7"/>
      <c r="D93" s="7"/>
      <c r="E93" s="7"/>
      <c r="F93" s="7"/>
      <c r="G93" s="7"/>
      <c r="H93" s="7"/>
      <c r="I93" s="7"/>
      <c r="J93" s="7"/>
      <c r="K93" s="7">
        <v>-145.1</v>
      </c>
      <c r="L93" s="7">
        <f>-290.6-K93</f>
        <v>-145.50000000000003</v>
      </c>
      <c r="M93" s="7"/>
      <c r="N93" s="7"/>
    </row>
    <row r="94" spans="2:38" s="2" customFormat="1" x14ac:dyDescent="0.2">
      <c r="B94" s="2" t="s">
        <v>59</v>
      </c>
      <c r="C94" s="7"/>
      <c r="D94" s="7"/>
      <c r="E94" s="7"/>
      <c r="F94" s="7"/>
      <c r="G94" s="7"/>
      <c r="H94" s="7"/>
      <c r="I94" s="7"/>
      <c r="J94" s="7"/>
      <c r="K94" s="7">
        <f>SUM(K90:K93)</f>
        <v>-1009</v>
      </c>
      <c r="L94" s="7">
        <f>SUM(L90:L93)</f>
        <v>-779.5999999999998</v>
      </c>
      <c r="M94" s="7"/>
      <c r="N94" s="7"/>
    </row>
    <row r="95" spans="2:38" s="2" customFormat="1" x14ac:dyDescent="0.2">
      <c r="B95" s="2" t="s">
        <v>66</v>
      </c>
      <c r="C95" s="7"/>
      <c r="D95" s="7"/>
      <c r="E95" s="7"/>
      <c r="F95" s="7"/>
      <c r="G95" s="7"/>
      <c r="H95" s="7"/>
      <c r="I95" s="7"/>
      <c r="J95" s="7"/>
      <c r="K95" s="7">
        <v>-11.4</v>
      </c>
      <c r="L95" s="7">
        <f>-40.2-K95</f>
        <v>-28.800000000000004</v>
      </c>
      <c r="M95" s="7"/>
      <c r="N95" s="7"/>
    </row>
    <row r="96" spans="2:38" s="2" customFormat="1" x14ac:dyDescent="0.2">
      <c r="B96" s="2" t="s">
        <v>67</v>
      </c>
      <c r="C96" s="7"/>
      <c r="D96" s="7"/>
      <c r="E96" s="7"/>
      <c r="F96" s="7"/>
      <c r="G96" s="7"/>
      <c r="H96" s="7"/>
      <c r="I96" s="7"/>
      <c r="J96" s="7"/>
      <c r="K96" s="7">
        <f>+K94+K95+K88+K82</f>
        <v>51.200000000000273</v>
      </c>
      <c r="L96" s="7">
        <f>+L94+L95+L88+L82</f>
        <v>-87.999999999999659</v>
      </c>
      <c r="M96" s="7"/>
      <c r="N96" s="7"/>
    </row>
  </sheetData>
  <hyperlinks>
    <hyperlink ref="A1" location="Main!A1" display="Main" xr:uid="{93B33797-E4EA-4FDB-827A-0D8F4F37A4F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2022-07-20T19:29:44Z</dcterms:created>
  <dcterms:modified xsi:type="dcterms:W3CDTF">2025-10-16T15:35:40Z</dcterms:modified>
</cp:coreProperties>
</file>