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DC9EE79-2A6A-4692-85A3-E8BE425D57D8}" xr6:coauthVersionLast="47" xr6:coauthVersionMax="47" xr10:uidLastSave="{00000000-0000-0000-0000-000000000000}"/>
  <bookViews>
    <workbookView xWindow="6420" yWindow="1680" windowWidth="18075" windowHeight="16020" activeTab="1" xr2:uid="{EE8EC31E-92BF-4988-AF8F-23431ADD336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M21" i="2"/>
  <c r="N17" i="2"/>
  <c r="M2" i="2"/>
  <c r="O21" i="2"/>
  <c r="P21" i="2"/>
  <c r="P6" i="2"/>
  <c r="O6" i="2"/>
  <c r="P5" i="2"/>
  <c r="O5" i="2"/>
  <c r="O7" i="2" s="1"/>
  <c r="O9" i="2" s="1"/>
  <c r="O11" i="2" s="1"/>
  <c r="O13" i="2" s="1"/>
  <c r="O14" i="2" s="1"/>
  <c r="Q21" i="2"/>
  <c r="R21" i="2"/>
  <c r="Q6" i="2"/>
  <c r="Q5" i="2"/>
  <c r="R6" i="2"/>
  <c r="R5" i="2"/>
  <c r="S21" i="2"/>
  <c r="T21" i="2"/>
  <c r="S10" i="2"/>
  <c r="S6" i="2"/>
  <c r="S5" i="2"/>
  <c r="T10" i="2"/>
  <c r="T6" i="2"/>
  <c r="T5" i="2"/>
  <c r="T17" i="2" s="1"/>
  <c r="V30" i="2"/>
  <c r="V24" i="2"/>
  <c r="U6" i="2"/>
  <c r="U21" i="2"/>
  <c r="V21" i="2"/>
  <c r="J6" i="1"/>
  <c r="V10" i="2"/>
  <c r="V6" i="2"/>
  <c r="V5" i="2"/>
  <c r="V7" i="2" s="1"/>
  <c r="V9" i="2" s="1"/>
  <c r="U5" i="2"/>
  <c r="S2" i="2"/>
  <c r="T2" i="2" s="1"/>
  <c r="U2" i="2" s="1"/>
  <c r="V2" i="2" s="1"/>
  <c r="E12" i="2"/>
  <c r="E10" i="2"/>
  <c r="I12" i="2"/>
  <c r="I10" i="2"/>
  <c r="E6" i="2"/>
  <c r="I6" i="2"/>
  <c r="E5" i="2"/>
  <c r="I5" i="2"/>
  <c r="I7" i="2" s="1"/>
  <c r="I9" i="2" s="1"/>
  <c r="J4" i="1"/>
  <c r="J7" i="1" s="1"/>
  <c r="J9" i="1" s="1"/>
  <c r="E6" i="1" s="1"/>
  <c r="P7" i="2" l="1"/>
  <c r="P9" i="2" s="1"/>
  <c r="P11" i="2" s="1"/>
  <c r="P13" i="2" s="1"/>
  <c r="P14" i="2" s="1"/>
  <c r="S17" i="2"/>
  <c r="O17" i="2"/>
  <c r="P17" i="2"/>
  <c r="R7" i="2"/>
  <c r="R9" i="2" s="1"/>
  <c r="R11" i="2" s="1"/>
  <c r="R13" i="2" s="1"/>
  <c r="R14" i="2" s="1"/>
  <c r="Q7" i="2"/>
  <c r="Q9" i="2" s="1"/>
  <c r="Q11" i="2" s="1"/>
  <c r="Q13" i="2" s="1"/>
  <c r="Q14" i="2" s="1"/>
  <c r="U7" i="2"/>
  <c r="U9" i="2" s="1"/>
  <c r="U11" i="2" s="1"/>
  <c r="U13" i="2" s="1"/>
  <c r="U14" i="2" s="1"/>
  <c r="V33" i="2"/>
  <c r="Q17" i="2"/>
  <c r="V11" i="2"/>
  <c r="V13" i="2" s="1"/>
  <c r="V14" i="2" s="1"/>
  <c r="V17" i="2"/>
  <c r="U17" i="2"/>
  <c r="R17" i="2"/>
  <c r="S7" i="2"/>
  <c r="S9" i="2" s="1"/>
  <c r="S11" i="2" s="1"/>
  <c r="S13" i="2" s="1"/>
  <c r="S14" i="2" s="1"/>
  <c r="I11" i="2"/>
  <c r="I13" i="2" s="1"/>
  <c r="I14" i="2" s="1"/>
  <c r="E7" i="2"/>
  <c r="E9" i="2" s="1"/>
  <c r="E11" i="2" s="1"/>
  <c r="E13" i="2" s="1"/>
  <c r="E14" i="2" s="1"/>
  <c r="I17" i="2"/>
  <c r="T7" i="2"/>
  <c r="T9" i="2" s="1"/>
  <c r="T11" i="2" s="1"/>
  <c r="T13" i="2" s="1"/>
  <c r="T14" i="2" s="1"/>
</calcChain>
</file>

<file path=xl/sharedStrings.xml><?xml version="1.0" encoding="utf-8"?>
<sst xmlns="http://schemas.openxmlformats.org/spreadsheetml/2006/main" count="48" uniqueCount="43">
  <si>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</si>
  <si>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</si>
  <si>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</si>
  <si>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</si>
  <si>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</si>
  <si>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</si>
  <si>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</si>
  <si>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</si>
  <si>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</si>
  <si>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Q121</t>
  </si>
  <si>
    <t>Q221</t>
  </si>
  <si>
    <t>Q321</t>
  </si>
  <si>
    <t>Q421</t>
  </si>
  <si>
    <t>Q122</t>
  </si>
  <si>
    <t>Q222</t>
  </si>
  <si>
    <t>Q422</t>
  </si>
  <si>
    <t>Service</t>
  </si>
  <si>
    <t>Wireless</t>
  </si>
  <si>
    <t>COGS</t>
  </si>
  <si>
    <t>Gross Margin</t>
  </si>
  <si>
    <t>SG&amp;A</t>
  </si>
  <si>
    <t>OpInc</t>
  </si>
  <si>
    <t>Interest</t>
  </si>
  <si>
    <t>Pretax</t>
  </si>
  <si>
    <t>Taxes</t>
  </si>
  <si>
    <t>Net Income</t>
  </si>
  <si>
    <t>EPS</t>
  </si>
  <si>
    <t>Revenue y/y</t>
  </si>
  <si>
    <t>Q424</t>
  </si>
  <si>
    <t>CFFO</t>
  </si>
  <si>
    <t>FCF</t>
  </si>
  <si>
    <t>CapEx</t>
  </si>
  <si>
    <t>Assets</t>
  </si>
  <si>
    <t>AR</t>
  </si>
  <si>
    <t>Inventories</t>
  </si>
  <si>
    <t>Prepaids</t>
  </si>
  <si>
    <t>PP&amp;E</t>
  </si>
  <si>
    <t>Goodwill</t>
  </si>
  <si>
    <t>ROU</t>
  </si>
  <si>
    <t>Other</t>
  </si>
  <si>
    <t>US Treasury</t>
  </si>
  <si>
    <t>Verizon Equity</t>
  </si>
  <si>
    <t>Verizon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</si>
</sst>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0" fontId="0" fillId="0" borderId="0" xfId="0" quotePrefix="1"/>
    <xf numFmtId="10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B703F2D-768C-46D7-8185-7F3B91A8F2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AAFC-19A0-483F-8699-3EDDA2329883}">
  <dimension ref="C2:K9"/>
  <sheetViews>
    <sheetView zoomScaleNormal="100" workbookViewId="0">
      <selection activeCell="K7" sqref="K7"/>
    </sheetView>
  </sheetViews>
  <sheetFormatPr defaultRowHeight="12.75" x14ac:dyDescent="0.2"/>
  <sheetData>
    <row r="2" spans="3:11" x14ac:dyDescent="0.2">
      <c r="I2" t="s">
        <v>0</v>
      </c>
      <c r="J2" s="1">
        <v>45</v>
      </c>
    </row>
    <row r="3" spans="3:11" x14ac:dyDescent="0.2">
      <c r="I3" t="s">
        <v>1</v>
      </c>
      <c r="J3" s="2">
        <v>4223</v>
      </c>
      <c r="K3" s="3" t="s">
        <v>28</v>
      </c>
    </row>
    <row r="4" spans="3:11" x14ac:dyDescent="0.2">
      <c r="I4" t="s">
        <v>2</v>
      </c>
      <c r="J4" s="2">
        <f>+J2*J3</f>
        <v>190035</v>
      </c>
    </row>
    <row r="5" spans="3:11" x14ac:dyDescent="0.2">
      <c r="I5" t="s">
        <v>3</v>
      </c>
      <c r="J5" s="2">
        <v>4194</v>
      </c>
      <c r="K5" s="3" t="s">
        <v>28</v>
      </c>
    </row>
    <row r="6" spans="3:11" x14ac:dyDescent="0.2">
      <c r="E6" s="12">
        <f>+J9</f>
        <v>6.0632702247957436E-2</v>
      </c>
      <c r="F6" t="s">
        <v>41</v>
      </c>
      <c r="I6" t="s">
        <v>4</v>
      </c>
      <c r="J6" s="2">
        <f>121381+22633</f>
        <v>144014</v>
      </c>
      <c r="K6" s="3" t="s">
        <v>28</v>
      </c>
    </row>
    <row r="7" spans="3:11" x14ac:dyDescent="0.2">
      <c r="C7" s="11"/>
      <c r="E7" s="12">
        <v>5.1389999999999998E-2</v>
      </c>
      <c r="F7" t="s">
        <v>42</v>
      </c>
      <c r="I7" t="s">
        <v>5</v>
      </c>
      <c r="J7" s="2">
        <f>+J4-J5+J6</f>
        <v>329855</v>
      </c>
    </row>
    <row r="8" spans="3:11" x14ac:dyDescent="0.2">
      <c r="C8" s="13"/>
      <c r="E8" s="12">
        <v>4.6249999999999999E-2</v>
      </c>
      <c r="F8" t="s">
        <v>40</v>
      </c>
      <c r="J8">
        <v>20000</v>
      </c>
    </row>
    <row r="9" spans="3:11" x14ac:dyDescent="0.2">
      <c r="E9" s="12"/>
      <c r="J9" s="10">
        <f>+J8/J7</f>
        <v>6.0632702247957436E-2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EA4F-4C34-4A37-A937-7588FDD490FB}">
  <dimension ref="A1:V33"/>
  <sheetViews>
    <sheetView tabSelected="1" zoomScaleNormal="1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V21" sqref="V21"/>
    </sheetView>
  </sheetViews>
  <sheetFormatPr defaultRowHeight="12.75" x14ac:dyDescent="0.2"/>
  <cols>
    <col min="1" max="1" width="5" bestFit="1" customWidth="1"/>
    <col min="2" max="2" width="12.28515625" bestFit="1" customWidth="1"/>
    <col min="3" max="10" width="9.140625" style="3"/>
  </cols>
  <sheetData>
    <row r="1" spans="1:22" x14ac:dyDescent="0.2">
      <c r="A1" s="9" t="s">
        <v>7</v>
      </c>
    </row>
    <row r="2" spans="1:22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M2">
        <f>+N2-1</f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f>+R2+1</f>
        <v>2021</v>
      </c>
      <c r="T2">
        <f>+S2+1</f>
        <v>2022</v>
      </c>
      <c r="U2">
        <f>+T2+1</f>
        <v>2023</v>
      </c>
      <c r="V2">
        <f>+U2+1</f>
        <v>2024</v>
      </c>
    </row>
    <row r="3" spans="1:22" s="2" customFormat="1" x14ac:dyDescent="0.2">
      <c r="B3" s="2" t="s">
        <v>16</v>
      </c>
      <c r="C3" s="5"/>
      <c r="D3" s="5"/>
      <c r="E3" s="5">
        <v>27565</v>
      </c>
      <c r="F3" s="5"/>
      <c r="G3" s="5"/>
      <c r="H3" s="5"/>
      <c r="I3" s="5">
        <v>27666</v>
      </c>
      <c r="J3" s="5"/>
      <c r="O3" s="2">
        <v>107145</v>
      </c>
      <c r="P3" s="2">
        <v>108605</v>
      </c>
      <c r="Q3" s="2">
        <v>110305</v>
      </c>
      <c r="R3" s="2">
        <v>109872</v>
      </c>
      <c r="S3" s="2">
        <v>110449</v>
      </c>
      <c r="T3" s="2">
        <v>109625</v>
      </c>
      <c r="U3" s="2">
        <v>109652</v>
      </c>
      <c r="V3" s="2">
        <v>111571</v>
      </c>
    </row>
    <row r="4" spans="1:22" s="2" customFormat="1" x14ac:dyDescent="0.2">
      <c r="B4" s="2" t="s">
        <v>17</v>
      </c>
      <c r="C4" s="5"/>
      <c r="D4" s="5"/>
      <c r="E4" s="5">
        <v>5350</v>
      </c>
      <c r="F4" s="5"/>
      <c r="G4" s="5"/>
      <c r="H4" s="5"/>
      <c r="I4" s="5">
        <v>6575</v>
      </c>
      <c r="J4" s="5"/>
      <c r="O4" s="2">
        <v>18889</v>
      </c>
      <c r="P4" s="2">
        <v>22258</v>
      </c>
      <c r="Q4" s="2">
        <v>21563</v>
      </c>
      <c r="R4" s="2">
        <v>18420</v>
      </c>
      <c r="S4" s="2">
        <v>23164</v>
      </c>
      <c r="T4" s="2">
        <v>27210</v>
      </c>
      <c r="U4" s="2">
        <v>24322</v>
      </c>
      <c r="V4" s="2">
        <v>23217</v>
      </c>
    </row>
    <row r="5" spans="1:22" s="6" customFormat="1" x14ac:dyDescent="0.2">
      <c r="B5" s="6" t="s">
        <v>8</v>
      </c>
      <c r="C5" s="7"/>
      <c r="D5" s="7"/>
      <c r="E5" s="7">
        <f>+E3+E4</f>
        <v>32915</v>
      </c>
      <c r="F5" s="7"/>
      <c r="G5" s="7"/>
      <c r="H5" s="7"/>
      <c r="I5" s="7">
        <f>+I3+I4</f>
        <v>34241</v>
      </c>
      <c r="J5" s="7"/>
      <c r="M5" s="6">
        <v>131620</v>
      </c>
      <c r="N5" s="6">
        <v>125980</v>
      </c>
      <c r="O5" s="6">
        <f t="shared" ref="O5" si="0">+O4+O3</f>
        <v>126034</v>
      </c>
      <c r="P5" s="6">
        <f t="shared" ref="P5" si="1">+P4+P3</f>
        <v>130863</v>
      </c>
      <c r="Q5" s="6">
        <f t="shared" ref="Q5:R5" si="2">+Q4+Q3</f>
        <v>131868</v>
      </c>
      <c r="R5" s="6">
        <f t="shared" si="2"/>
        <v>128292</v>
      </c>
      <c r="S5" s="6">
        <f>+S4+S3</f>
        <v>133613</v>
      </c>
      <c r="T5" s="6">
        <f>+T4+T3</f>
        <v>136835</v>
      </c>
      <c r="U5" s="6">
        <f>+U4+U3</f>
        <v>133974</v>
      </c>
      <c r="V5" s="6">
        <f>+V4+V3</f>
        <v>134788</v>
      </c>
    </row>
    <row r="6" spans="1:22" s="2" customFormat="1" x14ac:dyDescent="0.2">
      <c r="B6" s="2" t="s">
        <v>18</v>
      </c>
      <c r="C6" s="5"/>
      <c r="D6" s="5"/>
      <c r="E6" s="5">
        <f>7855+5673</f>
        <v>13528</v>
      </c>
      <c r="F6" s="5"/>
      <c r="G6" s="5"/>
      <c r="H6" s="5"/>
      <c r="I6" s="5">
        <f>7293+7308</f>
        <v>14601</v>
      </c>
      <c r="J6" s="5"/>
      <c r="O6" s="2">
        <f>30916+22147</f>
        <v>53063</v>
      </c>
      <c r="P6" s="2">
        <f>32185+23323</f>
        <v>55508</v>
      </c>
      <c r="Q6" s="2">
        <f>31772+22954</f>
        <v>54726</v>
      </c>
      <c r="R6" s="2">
        <f>31401+19800</f>
        <v>51201</v>
      </c>
      <c r="S6" s="2">
        <f>31234+25067</f>
        <v>56301</v>
      </c>
      <c r="T6" s="2">
        <f>28637+30496</f>
        <v>59133</v>
      </c>
      <c r="U6" s="2">
        <f>28100+26787</f>
        <v>54887</v>
      </c>
      <c r="V6" s="2">
        <f>27997+26100</f>
        <v>54097</v>
      </c>
    </row>
    <row r="7" spans="1:22" s="2" customFormat="1" x14ac:dyDescent="0.2">
      <c r="B7" s="2" t="s">
        <v>19</v>
      </c>
      <c r="C7" s="5"/>
      <c r="D7" s="5"/>
      <c r="E7" s="5">
        <f>+E5-E6</f>
        <v>19387</v>
      </c>
      <c r="F7" s="5"/>
      <c r="G7" s="5"/>
      <c r="H7" s="5"/>
      <c r="I7" s="5">
        <f>+I5-I6</f>
        <v>19640</v>
      </c>
      <c r="J7" s="5"/>
      <c r="O7" s="2">
        <f t="shared" ref="O7" si="3">+O5-O6</f>
        <v>72971</v>
      </c>
      <c r="P7" s="2">
        <f t="shared" ref="P7" si="4">+P5-P6</f>
        <v>75355</v>
      </c>
      <c r="Q7" s="2">
        <f t="shared" ref="Q7:R7" si="5">+Q5-Q6</f>
        <v>77142</v>
      </c>
      <c r="R7" s="2">
        <f t="shared" si="5"/>
        <v>77091</v>
      </c>
      <c r="S7" s="2">
        <f>+S5-S6</f>
        <v>77312</v>
      </c>
      <c r="T7" s="2">
        <f>+T5-T6</f>
        <v>77702</v>
      </c>
      <c r="U7" s="2">
        <f>+U5-U6</f>
        <v>79087</v>
      </c>
      <c r="V7" s="2">
        <f>+V5-V6</f>
        <v>80691</v>
      </c>
    </row>
    <row r="8" spans="1:22" s="2" customFormat="1" x14ac:dyDescent="0.2">
      <c r="B8" s="2" t="s">
        <v>20</v>
      </c>
      <c r="C8" s="5"/>
      <c r="D8" s="5"/>
      <c r="E8" s="5">
        <v>6521</v>
      </c>
      <c r="F8" s="5"/>
      <c r="G8" s="5"/>
      <c r="H8" s="5"/>
      <c r="I8" s="5">
        <v>7422</v>
      </c>
      <c r="J8" s="5"/>
      <c r="O8" s="2">
        <v>28592</v>
      </c>
      <c r="P8" s="2">
        <v>31083</v>
      </c>
      <c r="Q8" s="2">
        <v>29896</v>
      </c>
      <c r="R8" s="2">
        <v>31573</v>
      </c>
      <c r="S8" s="2">
        <v>28658</v>
      </c>
      <c r="T8" s="2">
        <v>30136</v>
      </c>
      <c r="U8" s="2">
        <v>32745</v>
      </c>
      <c r="V8" s="2">
        <v>34113</v>
      </c>
    </row>
    <row r="9" spans="1:22" s="2" customFormat="1" x14ac:dyDescent="0.2">
      <c r="B9" s="2" t="s">
        <v>21</v>
      </c>
      <c r="C9" s="5"/>
      <c r="D9" s="5"/>
      <c r="E9" s="5">
        <f>+E7-E8</f>
        <v>12866</v>
      </c>
      <c r="F9" s="5"/>
      <c r="G9" s="5"/>
      <c r="H9" s="5"/>
      <c r="I9" s="5">
        <f>+I7-I8</f>
        <v>12218</v>
      </c>
      <c r="J9" s="5"/>
      <c r="O9" s="2">
        <f t="shared" ref="O9" si="6">+O7-O8</f>
        <v>44379</v>
      </c>
      <c r="P9" s="2">
        <f t="shared" ref="P9" si="7">+P7-P8</f>
        <v>44272</v>
      </c>
      <c r="Q9" s="2">
        <f t="shared" ref="Q9:R9" si="8">+Q7-Q8</f>
        <v>47246</v>
      </c>
      <c r="R9" s="2">
        <f t="shared" si="8"/>
        <v>45518</v>
      </c>
      <c r="S9" s="2">
        <f>+S7-S8</f>
        <v>48654</v>
      </c>
      <c r="T9" s="2">
        <f>+T7-T8</f>
        <v>47566</v>
      </c>
      <c r="U9" s="2">
        <f>+U7-U8</f>
        <v>46342</v>
      </c>
      <c r="V9" s="2">
        <f>+V7-V8</f>
        <v>46578</v>
      </c>
    </row>
    <row r="10" spans="1:22" s="2" customFormat="1" x14ac:dyDescent="0.2">
      <c r="B10" s="2" t="s">
        <v>22</v>
      </c>
      <c r="C10" s="5"/>
      <c r="D10" s="5"/>
      <c r="E10" s="5">
        <f>1+269-801</f>
        <v>-531</v>
      </c>
      <c r="F10" s="5"/>
      <c r="G10" s="5"/>
      <c r="H10" s="5"/>
      <c r="I10" s="5">
        <f>2-439-937</f>
        <v>-1374</v>
      </c>
      <c r="J10" s="5"/>
      <c r="O10" s="2">
        <v>-4733</v>
      </c>
      <c r="P10" s="2">
        <v>-4833</v>
      </c>
      <c r="Q10" s="2">
        <v>-4730</v>
      </c>
      <c r="R10" s="2">
        <v>-4247</v>
      </c>
      <c r="S10" s="2">
        <f>-3485+312</f>
        <v>-3173</v>
      </c>
      <c r="T10" s="2">
        <f>-3613+1373</f>
        <v>-2240</v>
      </c>
      <c r="U10" s="2">
        <v>-5524</v>
      </c>
      <c r="V10" s="2">
        <f>-6649+995</f>
        <v>-5654</v>
      </c>
    </row>
    <row r="11" spans="1:22" s="2" customFormat="1" x14ac:dyDescent="0.2">
      <c r="B11" s="2" t="s">
        <v>23</v>
      </c>
      <c r="C11" s="5"/>
      <c r="D11" s="5"/>
      <c r="E11" s="5">
        <f>+E9+E10</f>
        <v>12335</v>
      </c>
      <c r="F11" s="5"/>
      <c r="G11" s="5"/>
      <c r="H11" s="5"/>
      <c r="I11" s="5">
        <f>+I9+I10</f>
        <v>10844</v>
      </c>
      <c r="J11" s="5"/>
      <c r="O11" s="2">
        <f t="shared" ref="O11" si="9">+O9+O10</f>
        <v>39646</v>
      </c>
      <c r="P11" s="2">
        <f t="shared" ref="P11" si="10">+P9+P10</f>
        <v>39439</v>
      </c>
      <c r="Q11" s="2">
        <f t="shared" ref="Q11:R11" si="11">+Q9+Q10</f>
        <v>42516</v>
      </c>
      <c r="R11" s="2">
        <f t="shared" si="11"/>
        <v>41271</v>
      </c>
      <c r="S11" s="2">
        <f>+S9+S10</f>
        <v>45481</v>
      </c>
      <c r="T11" s="2">
        <f>+T9+T10</f>
        <v>45326</v>
      </c>
      <c r="U11" s="2">
        <f>+U9+U10</f>
        <v>40818</v>
      </c>
      <c r="V11" s="2">
        <f>+V9+V10</f>
        <v>40924</v>
      </c>
    </row>
    <row r="12" spans="1:22" s="2" customFormat="1" x14ac:dyDescent="0.2">
      <c r="B12" s="2" t="s">
        <v>24</v>
      </c>
      <c r="C12" s="5"/>
      <c r="D12" s="5"/>
      <c r="E12" s="5">
        <f>1820+147</f>
        <v>1967</v>
      </c>
      <c r="F12" s="5"/>
      <c r="G12" s="5"/>
      <c r="H12" s="5"/>
      <c r="I12" s="5">
        <f>1496+124</f>
        <v>1620</v>
      </c>
      <c r="J12" s="5"/>
      <c r="O12" s="2">
        <v>0</v>
      </c>
      <c r="P12" s="2">
        <v>3584</v>
      </c>
      <c r="Q12" s="2">
        <v>2945</v>
      </c>
      <c r="R12" s="2">
        <v>5619</v>
      </c>
      <c r="S12" s="2">
        <v>6802</v>
      </c>
      <c r="T12" s="2">
        <v>6523</v>
      </c>
      <c r="U12" s="2">
        <v>4892</v>
      </c>
      <c r="V12" s="2">
        <v>5030</v>
      </c>
    </row>
    <row r="13" spans="1:22" s="2" customFormat="1" x14ac:dyDescent="0.2">
      <c r="B13" s="2" t="s">
        <v>25</v>
      </c>
      <c r="C13" s="5"/>
      <c r="D13" s="5"/>
      <c r="E13" s="5">
        <f>+E11-E12</f>
        <v>10368</v>
      </c>
      <c r="F13" s="5"/>
      <c r="G13" s="5"/>
      <c r="H13" s="5"/>
      <c r="I13" s="5">
        <f>+I11-I12</f>
        <v>9224</v>
      </c>
      <c r="J13" s="5"/>
      <c r="O13" s="2">
        <f t="shared" ref="O13" si="12">+O11-O12</f>
        <v>39646</v>
      </c>
      <c r="P13" s="2">
        <f t="shared" ref="P13" si="13">+P11-P12</f>
        <v>35855</v>
      </c>
      <c r="Q13" s="2">
        <f t="shared" ref="Q13:R13" si="14">+Q11-Q12</f>
        <v>39571</v>
      </c>
      <c r="R13" s="2">
        <f t="shared" si="14"/>
        <v>35652</v>
      </c>
      <c r="S13" s="2">
        <f>+S11-S12</f>
        <v>38679</v>
      </c>
      <c r="T13" s="2">
        <f>+T11-T12</f>
        <v>38803</v>
      </c>
      <c r="U13" s="2">
        <f>+U11-U12</f>
        <v>35926</v>
      </c>
      <c r="V13" s="2">
        <f>+V11-V12</f>
        <v>35894</v>
      </c>
    </row>
    <row r="14" spans="1:22" x14ac:dyDescent="0.2">
      <c r="B14" s="2" t="s">
        <v>26</v>
      </c>
      <c r="E14" s="4">
        <f>+E13/E15</f>
        <v>2.5019305019305018</v>
      </c>
      <c r="I14" s="4">
        <f>+I13/I15</f>
        <v>2.1941008563273074</v>
      </c>
      <c r="O14" s="1">
        <f t="shared" ref="O14" si="15">+O13/O15</f>
        <v>9.6957691367082415</v>
      </c>
      <c r="P14" s="1">
        <f t="shared" ref="P14" si="16">+P13/P15</f>
        <v>8.6773959341723135</v>
      </c>
      <c r="Q14" s="1">
        <f t="shared" ref="Q14:R14" si="17">+Q13/Q15</f>
        <v>9.5582125603864743</v>
      </c>
      <c r="R14" s="1">
        <f t="shared" si="17"/>
        <v>8.6074360212457748</v>
      </c>
      <c r="S14" s="1">
        <f>+S13/S15</f>
        <v>9.3202409638554222</v>
      </c>
      <c r="T14" s="1">
        <f>+T13/T15</f>
        <v>9.2300190294957183</v>
      </c>
      <c r="U14" s="1">
        <f>+U13/U15</f>
        <v>8.5233689205219463</v>
      </c>
      <c r="V14" s="1">
        <f>+V13/V15</f>
        <v>8.4996448022732647</v>
      </c>
    </row>
    <row r="15" spans="1:22" x14ac:dyDescent="0.2">
      <c r="B15" s="2" t="s">
        <v>1</v>
      </c>
      <c r="E15" s="5">
        <v>4144</v>
      </c>
      <c r="I15" s="5">
        <v>4204</v>
      </c>
      <c r="O15" s="2">
        <v>4089</v>
      </c>
      <c r="P15" s="2">
        <v>4132</v>
      </c>
      <c r="Q15" s="2">
        <v>4140</v>
      </c>
      <c r="R15" s="2">
        <v>4142</v>
      </c>
      <c r="S15" s="2">
        <v>4150</v>
      </c>
      <c r="T15" s="2">
        <v>4204</v>
      </c>
      <c r="U15" s="2">
        <v>4215</v>
      </c>
      <c r="V15" s="2">
        <v>4223</v>
      </c>
    </row>
    <row r="16" spans="1:22" x14ac:dyDescent="0.2">
      <c r="B16" s="2"/>
    </row>
    <row r="17" spans="2:22" x14ac:dyDescent="0.2">
      <c r="B17" s="2" t="s">
        <v>27</v>
      </c>
      <c r="I17" s="8">
        <f>I5/E5-1</f>
        <v>4.0285584080206549E-2</v>
      </c>
      <c r="M17" s="10"/>
      <c r="N17" s="10">
        <f t="shared" ref="N17:P17" si="18">+N5/M5-1</f>
        <v>-4.2850630603251783E-2</v>
      </c>
      <c r="O17" s="10">
        <f t="shared" si="18"/>
        <v>4.2863946658200369E-4</v>
      </c>
      <c r="P17" s="10">
        <f t="shared" si="18"/>
        <v>3.8315057841534772E-2</v>
      </c>
      <c r="Q17" s="10">
        <f t="shared" ref="Q17:S17" si="19">+Q5/P5-1</f>
        <v>7.6797872584306592E-3</v>
      </c>
      <c r="R17" s="10">
        <f t="shared" si="19"/>
        <v>-2.7118027118027133E-2</v>
      </c>
      <c r="S17" s="10">
        <f t="shared" si="19"/>
        <v>4.1475696068344003E-2</v>
      </c>
      <c r="T17" s="10">
        <f>+T5/S5-1</f>
        <v>2.4114420004041515E-2</v>
      </c>
      <c r="U17" s="10">
        <f>+U5/T5-1</f>
        <v>-2.090839332042238E-2</v>
      </c>
      <c r="V17" s="10">
        <f>+V5/U5-1</f>
        <v>6.0758057533552012E-3</v>
      </c>
    </row>
    <row r="19" spans="2:22" s="2" customFormat="1" x14ac:dyDescent="0.2">
      <c r="B19" s="2" t="s">
        <v>29</v>
      </c>
      <c r="C19" s="5"/>
      <c r="D19" s="5"/>
      <c r="E19" s="5"/>
      <c r="F19" s="5"/>
      <c r="G19" s="5"/>
      <c r="H19" s="5"/>
      <c r="I19" s="5"/>
      <c r="J19" s="5"/>
      <c r="M19" s="2">
        <v>38930</v>
      </c>
      <c r="N19" s="2">
        <v>22715</v>
      </c>
      <c r="O19" s="2">
        <v>24318</v>
      </c>
      <c r="P19" s="2">
        <v>34339</v>
      </c>
      <c r="Q19" s="2">
        <v>35746</v>
      </c>
      <c r="R19" s="2">
        <v>41768</v>
      </c>
      <c r="S19" s="2">
        <v>39539</v>
      </c>
      <c r="T19" s="2">
        <v>37141</v>
      </c>
      <c r="U19" s="2">
        <v>37475</v>
      </c>
      <c r="V19" s="2">
        <v>36912</v>
      </c>
    </row>
    <row r="20" spans="2:22" s="2" customFormat="1" x14ac:dyDescent="0.2">
      <c r="B20" s="2" t="s">
        <v>31</v>
      </c>
      <c r="C20" s="5"/>
      <c r="D20" s="5"/>
      <c r="E20" s="5"/>
      <c r="F20" s="5"/>
      <c r="G20" s="5"/>
      <c r="H20" s="5"/>
      <c r="I20" s="5"/>
      <c r="J20" s="5"/>
      <c r="M20" s="2">
        <v>17775</v>
      </c>
      <c r="N20" s="2">
        <v>17059</v>
      </c>
      <c r="O20" s="2">
        <v>17247</v>
      </c>
      <c r="P20" s="2">
        <v>16658</v>
      </c>
      <c r="Q20" s="2">
        <v>17939</v>
      </c>
      <c r="R20" s="2">
        <v>18192</v>
      </c>
      <c r="S20" s="2">
        <v>20286</v>
      </c>
      <c r="T20" s="2">
        <v>23087</v>
      </c>
      <c r="U20" s="2">
        <v>18767</v>
      </c>
      <c r="V20" s="2">
        <v>17090</v>
      </c>
    </row>
    <row r="21" spans="2:22" s="2" customFormat="1" x14ac:dyDescent="0.2">
      <c r="B21" s="2" t="s">
        <v>30</v>
      </c>
      <c r="C21" s="5"/>
      <c r="D21" s="5"/>
      <c r="E21" s="5"/>
      <c r="F21" s="5"/>
      <c r="G21" s="5"/>
      <c r="H21" s="5"/>
      <c r="I21" s="5"/>
      <c r="J21" s="5"/>
      <c r="M21" s="2">
        <f t="shared" ref="M21:N21" si="20">+M19-M20</f>
        <v>21155</v>
      </c>
      <c r="N21" s="2">
        <f t="shared" si="20"/>
        <v>5656</v>
      </c>
      <c r="O21" s="2">
        <f t="shared" ref="O21:V21" si="21">+O19-O20</f>
        <v>7071</v>
      </c>
      <c r="P21" s="2">
        <f t="shared" si="21"/>
        <v>17681</v>
      </c>
      <c r="Q21" s="2">
        <f t="shared" si="21"/>
        <v>17807</v>
      </c>
      <c r="R21" s="2">
        <f t="shared" si="21"/>
        <v>23576</v>
      </c>
      <c r="S21" s="2">
        <f t="shared" si="21"/>
        <v>19253</v>
      </c>
      <c r="T21" s="2">
        <f t="shared" si="21"/>
        <v>14054</v>
      </c>
      <c r="U21" s="2">
        <f t="shared" si="21"/>
        <v>18708</v>
      </c>
      <c r="V21" s="2">
        <f t="shared" si="21"/>
        <v>19822</v>
      </c>
    </row>
    <row r="24" spans="2:22" s="2" customFormat="1" x14ac:dyDescent="0.2">
      <c r="B24" s="2" t="s">
        <v>3</v>
      </c>
      <c r="C24" s="5"/>
      <c r="D24" s="5"/>
      <c r="E24" s="5"/>
      <c r="F24" s="5"/>
      <c r="G24" s="5"/>
      <c r="H24" s="5"/>
      <c r="I24" s="5"/>
      <c r="J24" s="5"/>
      <c r="V24" s="2">
        <f>4194+842</f>
        <v>5036</v>
      </c>
    </row>
    <row r="25" spans="2:22" s="2" customFormat="1" x14ac:dyDescent="0.2">
      <c r="B25" s="2" t="s">
        <v>33</v>
      </c>
      <c r="C25" s="5"/>
      <c r="D25" s="5"/>
      <c r="E25" s="5"/>
      <c r="F25" s="5"/>
      <c r="G25" s="5"/>
      <c r="H25" s="5"/>
      <c r="I25" s="5"/>
      <c r="J25" s="5"/>
      <c r="V25" s="2">
        <v>26109</v>
      </c>
    </row>
    <row r="26" spans="2:22" s="2" customFormat="1" x14ac:dyDescent="0.2">
      <c r="B26" s="2" t="s">
        <v>34</v>
      </c>
      <c r="C26" s="5"/>
      <c r="D26" s="5"/>
      <c r="E26" s="5"/>
      <c r="F26" s="5"/>
      <c r="G26" s="5"/>
      <c r="H26" s="5"/>
      <c r="I26" s="5"/>
      <c r="J26" s="5"/>
      <c r="V26" s="2">
        <v>2247</v>
      </c>
    </row>
    <row r="27" spans="2:22" s="2" customFormat="1" x14ac:dyDescent="0.2">
      <c r="B27" s="2" t="s">
        <v>35</v>
      </c>
      <c r="C27" s="5"/>
      <c r="D27" s="5"/>
      <c r="E27" s="5"/>
      <c r="F27" s="5"/>
      <c r="G27" s="5"/>
      <c r="H27" s="5"/>
      <c r="I27" s="5"/>
      <c r="J27" s="5"/>
      <c r="V27" s="2">
        <v>7973</v>
      </c>
    </row>
    <row r="28" spans="2:22" s="2" customFormat="1" x14ac:dyDescent="0.2">
      <c r="B28" s="2" t="s">
        <v>36</v>
      </c>
      <c r="C28" s="5"/>
      <c r="D28" s="5"/>
      <c r="E28" s="5"/>
      <c r="F28" s="5"/>
      <c r="G28" s="5"/>
      <c r="H28" s="5"/>
      <c r="I28" s="5"/>
      <c r="J28" s="5"/>
      <c r="V28" s="2">
        <v>108522</v>
      </c>
    </row>
    <row r="29" spans="2:22" x14ac:dyDescent="0.2">
      <c r="B29" s="2" t="s">
        <v>17</v>
      </c>
      <c r="V29" s="2">
        <v>156613</v>
      </c>
    </row>
    <row r="30" spans="2:22" x14ac:dyDescent="0.2">
      <c r="B30" s="2" t="s">
        <v>37</v>
      </c>
      <c r="V30" s="2">
        <f>22841+11129</f>
        <v>33970</v>
      </c>
    </row>
    <row r="31" spans="2:22" x14ac:dyDescent="0.2">
      <c r="B31" s="2" t="s">
        <v>38</v>
      </c>
      <c r="V31" s="2">
        <v>24472</v>
      </c>
    </row>
    <row r="32" spans="2:22" x14ac:dyDescent="0.2">
      <c r="B32" s="2" t="s">
        <v>39</v>
      </c>
      <c r="V32" s="2">
        <v>19769</v>
      </c>
    </row>
    <row r="33" spans="2:22" x14ac:dyDescent="0.2">
      <c r="B33" t="s">
        <v>32</v>
      </c>
      <c r="V33" s="2">
        <f>SUM(V24:V32)</f>
        <v>384711</v>
      </c>
    </row>
  </sheetData>
  <hyperlinks>
    <hyperlink ref="A1" location="Main!A1" display="Main" xr:uid="{A2D96C4C-0F3F-4E42-938F-E7ADB3B460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2022-12-26T23:54:41Z</dcterms:created>
  <dcterms:modified xsi:type="dcterms:W3CDTF">2025-10-16T15:25:57Z</dcterms:modified>
</cp:coreProperties>
</file>