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07782C7A-0158-4170-BA8E-B8BD715804BB}" xr6:coauthVersionLast="47" xr6:coauthVersionMax="47" xr10:uidLastSave="{00000000-0000-0000-0000-000000000000}"/>
  <bookViews>
    <workbookView xWindow="5385" yWindow="645" windowWidth="18075" windowHeight="16020" activeTab="1" xr2:uid="{2343338B-E596-4371-864B-486E8382421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9" i="2" l="1"/>
  <c r="R59" i="2"/>
  <c r="Q59" i="2"/>
  <c r="P59" i="2"/>
  <c r="O59" i="2"/>
  <c r="AB59" i="2"/>
  <c r="S38" i="2"/>
  <c r="S37" i="2"/>
  <c r="S42" i="2" s="1"/>
  <c r="R42" i="2"/>
  <c r="S24" i="2"/>
  <c r="S31" i="2"/>
  <c r="S30" i="2"/>
  <c r="S26" i="2"/>
  <c r="R32" i="2"/>
  <c r="AB5" i="2"/>
  <c r="AB4" i="2"/>
  <c r="AA4" i="2"/>
  <c r="Z4" i="2"/>
  <c r="AB3" i="2"/>
  <c r="AA3" i="2"/>
  <c r="AA5" i="2" s="1"/>
  <c r="T13" i="2"/>
  <c r="U13" i="2" s="1"/>
  <c r="V13" i="2" s="1"/>
  <c r="V10" i="2"/>
  <c r="U10" i="2"/>
  <c r="T10" i="2"/>
  <c r="V9" i="2"/>
  <c r="U9" i="2"/>
  <c r="T9" i="2"/>
  <c r="V8" i="2"/>
  <c r="U8" i="2"/>
  <c r="U11" i="2" s="1"/>
  <c r="T8" i="2"/>
  <c r="T11" i="2" s="1"/>
  <c r="V4" i="2"/>
  <c r="U4" i="2"/>
  <c r="T4" i="2"/>
  <c r="V3" i="2"/>
  <c r="U3" i="2"/>
  <c r="T3" i="2"/>
  <c r="AC3" i="2" s="1"/>
  <c r="T18" i="2"/>
  <c r="U18" i="2" s="1"/>
  <c r="V18" i="2" s="1"/>
  <c r="U5" i="2"/>
  <c r="S23" i="2"/>
  <c r="R23" i="2"/>
  <c r="K6" i="2"/>
  <c r="K5" i="2"/>
  <c r="N6" i="2"/>
  <c r="R6" i="2"/>
  <c r="N5" i="2"/>
  <c r="S11" i="2"/>
  <c r="O6" i="2"/>
  <c r="S6" i="2"/>
  <c r="O5" i="2"/>
  <c r="S5" i="2"/>
  <c r="R5" i="2"/>
  <c r="Q38" i="2"/>
  <c r="Q37" i="2"/>
  <c r="Q42" i="2" s="1"/>
  <c r="Q30" i="2"/>
  <c r="Q26" i="2"/>
  <c r="Q24" i="2"/>
  <c r="Q23" i="2" s="1"/>
  <c r="M6" i="2"/>
  <c r="M5" i="2"/>
  <c r="Q6" i="2"/>
  <c r="Q5" i="2"/>
  <c r="Q7" i="2" s="1"/>
  <c r="Q21" i="2" s="1"/>
  <c r="P30" i="2"/>
  <c r="P26" i="2"/>
  <c r="P24" i="2"/>
  <c r="P39" i="2"/>
  <c r="P38" i="2"/>
  <c r="P37" i="2"/>
  <c r="L6" i="2"/>
  <c r="L5" i="2"/>
  <c r="K18" i="2"/>
  <c r="R11" i="2"/>
  <c r="Q11" i="2"/>
  <c r="P11" i="2"/>
  <c r="O11" i="2"/>
  <c r="N11" i="2"/>
  <c r="M11" i="2"/>
  <c r="L11" i="2"/>
  <c r="K11" i="2"/>
  <c r="P6" i="2"/>
  <c r="P5" i="2"/>
  <c r="K1" i="2"/>
  <c r="O1" i="2" s="1"/>
  <c r="J38" i="2"/>
  <c r="J39" i="2"/>
  <c r="F37" i="2"/>
  <c r="J37" i="2"/>
  <c r="J30" i="2"/>
  <c r="J26" i="2"/>
  <c r="J29" i="2"/>
  <c r="J24" i="2"/>
  <c r="Z18" i="2"/>
  <c r="Y18" i="2"/>
  <c r="Z15" i="2"/>
  <c r="Y15" i="2"/>
  <c r="Z13" i="2"/>
  <c r="Y13" i="2"/>
  <c r="Z10" i="2"/>
  <c r="Y10" i="2"/>
  <c r="Z9" i="2"/>
  <c r="Y9" i="2"/>
  <c r="Z8" i="2"/>
  <c r="Y8" i="2"/>
  <c r="Y4" i="2"/>
  <c r="Z3" i="2"/>
  <c r="Y3" i="2"/>
  <c r="H6" i="2"/>
  <c r="H11" i="2"/>
  <c r="H5" i="2"/>
  <c r="I11" i="2"/>
  <c r="I6" i="2"/>
  <c r="I5" i="2"/>
  <c r="J11" i="2"/>
  <c r="J6" i="2"/>
  <c r="J5" i="2"/>
  <c r="H1" i="2"/>
  <c r="I1" i="2" s="1"/>
  <c r="J1" i="2" s="1"/>
  <c r="N1" i="2" s="1"/>
  <c r="R1" i="2" s="1"/>
  <c r="V1" i="2" s="1"/>
  <c r="AC1" i="2" s="1"/>
  <c r="D6" i="2"/>
  <c r="D11" i="2"/>
  <c r="D5" i="2"/>
  <c r="E6" i="2"/>
  <c r="E11" i="2"/>
  <c r="E5" i="2"/>
  <c r="F6" i="2"/>
  <c r="F11" i="2"/>
  <c r="F5" i="2"/>
  <c r="M5" i="1"/>
  <c r="M8" i="1" s="1"/>
  <c r="G38" i="2"/>
  <c r="G39" i="2"/>
  <c r="G37" i="2"/>
  <c r="G26" i="2"/>
  <c r="G30" i="2"/>
  <c r="G24" i="2"/>
  <c r="C58" i="2"/>
  <c r="G58" i="2"/>
  <c r="C6" i="2"/>
  <c r="C11" i="2"/>
  <c r="G11" i="2"/>
  <c r="G6" i="2"/>
  <c r="C5" i="2"/>
  <c r="G5" i="2"/>
  <c r="S32" i="2" l="1"/>
  <c r="AB20" i="2"/>
  <c r="U20" i="2"/>
  <c r="V11" i="2"/>
  <c r="S20" i="2"/>
  <c r="V5" i="2"/>
  <c r="O7" i="2"/>
  <c r="O21" i="2" s="1"/>
  <c r="V7" i="2"/>
  <c r="V21" i="2" s="1"/>
  <c r="V20" i="2"/>
  <c r="N7" i="2"/>
  <c r="N21" i="2" s="1"/>
  <c r="T5" i="2"/>
  <c r="O20" i="2"/>
  <c r="Q20" i="2"/>
  <c r="AC4" i="2"/>
  <c r="AC5" i="2" s="1"/>
  <c r="AC20" i="2" s="1"/>
  <c r="L7" i="2"/>
  <c r="L21" i="2" s="1"/>
  <c r="AB1" i="2"/>
  <c r="P42" i="2"/>
  <c r="S7" i="2"/>
  <c r="S21" i="2" s="1"/>
  <c r="P7" i="2"/>
  <c r="U7" i="2"/>
  <c r="U21" i="2" s="1"/>
  <c r="K20" i="2"/>
  <c r="N20" i="2"/>
  <c r="K7" i="2"/>
  <c r="K21" i="2" s="1"/>
  <c r="K12" i="2"/>
  <c r="K14" i="2" s="1"/>
  <c r="K16" i="2" s="1"/>
  <c r="R20" i="2"/>
  <c r="M20" i="2"/>
  <c r="M7" i="2"/>
  <c r="M21" i="2" s="1"/>
  <c r="Q32" i="2"/>
  <c r="M12" i="2"/>
  <c r="M14" i="2" s="1"/>
  <c r="M16" i="2" s="1"/>
  <c r="M17" i="2" s="1"/>
  <c r="N12" i="2"/>
  <c r="N14" i="2" s="1"/>
  <c r="N16" i="2" s="1"/>
  <c r="R7" i="2"/>
  <c r="Q12" i="2"/>
  <c r="Q14" i="2" s="1"/>
  <c r="Q16" i="2" s="1"/>
  <c r="L20" i="2"/>
  <c r="M1" i="2"/>
  <c r="Q1" i="2" s="1"/>
  <c r="U1" i="2" s="1"/>
  <c r="G23" i="2"/>
  <c r="P20" i="2"/>
  <c r="L1" i="2"/>
  <c r="P1" i="2" s="1"/>
  <c r="T1" i="2" s="1"/>
  <c r="P23" i="2"/>
  <c r="F20" i="2"/>
  <c r="K17" i="2"/>
  <c r="P32" i="2"/>
  <c r="J42" i="2"/>
  <c r="G20" i="2"/>
  <c r="Z5" i="2"/>
  <c r="AA20" i="2" s="1"/>
  <c r="J61" i="2"/>
  <c r="G42" i="2"/>
  <c r="H20" i="2"/>
  <c r="E7" i="2"/>
  <c r="Y5" i="2"/>
  <c r="J23" i="2"/>
  <c r="I7" i="2"/>
  <c r="J32" i="2"/>
  <c r="J20" i="2"/>
  <c r="Z6" i="2"/>
  <c r="Y6" i="2"/>
  <c r="Z11" i="2"/>
  <c r="Y11" i="2"/>
  <c r="J7" i="2"/>
  <c r="I20" i="2"/>
  <c r="H7" i="2"/>
  <c r="D7" i="2"/>
  <c r="F7" i="2"/>
  <c r="G32" i="2"/>
  <c r="G7" i="2"/>
  <c r="C7" i="2"/>
  <c r="U12" i="2" l="1"/>
  <c r="U14" i="2" s="1"/>
  <c r="O12" i="2"/>
  <c r="O14" i="2" s="1"/>
  <c r="O16" i="2" s="1"/>
  <c r="T7" i="2"/>
  <c r="T20" i="2"/>
  <c r="S12" i="2"/>
  <c r="S14" i="2" s="1"/>
  <c r="S16" i="2" s="1"/>
  <c r="S17" i="2" s="1"/>
  <c r="H12" i="2"/>
  <c r="H14" i="2" s="1"/>
  <c r="H16" i="2" s="1"/>
  <c r="H21" i="2"/>
  <c r="U15" i="2"/>
  <c r="U16" i="2" s="1"/>
  <c r="U17" i="2" s="1"/>
  <c r="G12" i="2"/>
  <c r="G14" i="2" s="1"/>
  <c r="G16" i="2" s="1"/>
  <c r="G44" i="2" s="1"/>
  <c r="G21" i="2"/>
  <c r="L12" i="2"/>
  <c r="L14" i="2" s="1"/>
  <c r="L16" i="2" s="1"/>
  <c r="L17" i="2" s="1"/>
  <c r="J12" i="2"/>
  <c r="J14" i="2" s="1"/>
  <c r="J16" i="2" s="1"/>
  <c r="J44" i="2" s="1"/>
  <c r="J21" i="2"/>
  <c r="E12" i="2"/>
  <c r="E14" i="2" s="1"/>
  <c r="E16" i="2" s="1"/>
  <c r="E17" i="2" s="1"/>
  <c r="E21" i="2"/>
  <c r="U6" i="2"/>
  <c r="V6" i="2"/>
  <c r="I12" i="2"/>
  <c r="I14" i="2" s="1"/>
  <c r="I16" i="2" s="1"/>
  <c r="I21" i="2"/>
  <c r="F12" i="2"/>
  <c r="F14" i="2" s="1"/>
  <c r="F16" i="2" s="1"/>
  <c r="F17" i="2" s="1"/>
  <c r="F21" i="2"/>
  <c r="R12" i="2"/>
  <c r="R14" i="2" s="1"/>
  <c r="R16" i="2" s="1"/>
  <c r="R21" i="2"/>
  <c r="V12" i="2"/>
  <c r="V14" i="2" s="1"/>
  <c r="C12" i="2"/>
  <c r="C14" i="2" s="1"/>
  <c r="C16" i="2" s="1"/>
  <c r="C21" i="2"/>
  <c r="D12" i="2"/>
  <c r="D14" i="2" s="1"/>
  <c r="D16" i="2" s="1"/>
  <c r="D17" i="2" s="1"/>
  <c r="D21" i="2"/>
  <c r="P12" i="2"/>
  <c r="P14" i="2" s="1"/>
  <c r="P16" i="2" s="1"/>
  <c r="P21" i="2"/>
  <c r="Z7" i="2"/>
  <c r="Z20" i="2"/>
  <c r="Y7" i="2"/>
  <c r="Y21" i="2" s="1"/>
  <c r="N17" i="2"/>
  <c r="O18" i="2"/>
  <c r="Y12" i="2"/>
  <c r="Y14" i="2" s="1"/>
  <c r="Y16" i="2" s="1"/>
  <c r="Y17" i="2" s="1"/>
  <c r="I17" i="2"/>
  <c r="I44" i="2"/>
  <c r="H17" i="2"/>
  <c r="H44" i="2"/>
  <c r="G17" i="2"/>
  <c r="C17" i="2"/>
  <c r="C44" i="2"/>
  <c r="J17" i="2" l="1"/>
  <c r="V15" i="2"/>
  <c r="V16" i="2" s="1"/>
  <c r="V17" i="2" s="1"/>
  <c r="Z12" i="2"/>
  <c r="Z14" i="2" s="1"/>
  <c r="Z16" i="2" s="1"/>
  <c r="Z17" i="2" s="1"/>
  <c r="Z21" i="2"/>
  <c r="O17" i="2"/>
  <c r="P17" i="2" l="1"/>
  <c r="R17" i="2" l="1"/>
  <c r="Q17" i="2"/>
  <c r="T21" i="2" l="1"/>
  <c r="T6" i="2"/>
  <c r="T12" i="2"/>
  <c r="T14" i="2" s="1"/>
  <c r="T15" i="2" l="1"/>
  <c r="T16" i="2" s="1"/>
  <c r="T17" i="2" s="1"/>
</calcChain>
</file>

<file path=xl/sharedStrings.xml><?xml version="1.0" encoding="utf-8"?>
<sst xmlns="http://schemas.openxmlformats.org/spreadsheetml/2006/main" count="92" uniqueCount="77">
  <si>
    <t>Price</t>
  </si>
  <si>
    <t>Shares</t>
  </si>
  <si>
    <t>MC</t>
  </si>
  <si>
    <t>Cash</t>
  </si>
  <si>
    <t>Debt</t>
  </si>
  <si>
    <t>EV</t>
  </si>
  <si>
    <t>Main</t>
  </si>
  <si>
    <t>Revenue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</si>
  <si>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</si>
  <si>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</si>
  <si>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</si>
  <si>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</si>
  <si>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</si>
  <si>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</si>
  <si>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</si>
  <si>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</si>
  <si>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Subscription</t>
  </si>
  <si>
    <t>Professional</t>
  </si>
  <si>
    <t>COGS</t>
  </si>
  <si>
    <t>Gross Margin</t>
  </si>
  <si>
    <t>R&amp;D</t>
  </si>
  <si>
    <t>S&amp;M</t>
  </si>
  <si>
    <t>G&amp;A</t>
  </si>
  <si>
    <t>OpEx</t>
  </si>
  <si>
    <t>OpInc</t>
  </si>
  <si>
    <t>Finance</t>
  </si>
  <si>
    <t>Pretax Income</t>
  </si>
  <si>
    <t>Taxes</t>
  </si>
  <si>
    <t>Net Income</t>
  </si>
  <si>
    <t>EPS</t>
  </si>
  <si>
    <t>Model NI</t>
  </si>
  <si>
    <t>Reported NI</t>
  </si>
  <si>
    <t>CFFO</t>
  </si>
  <si>
    <t>DR</t>
  </si>
  <si>
    <t>AE</t>
  </si>
  <si>
    <t>AR</t>
  </si>
  <si>
    <t>Deferred Costs</t>
  </si>
  <si>
    <t>Prepaid</t>
  </si>
  <si>
    <t>AP</t>
  </si>
  <si>
    <t>D&amp;A</t>
  </si>
  <si>
    <t>SBC</t>
  </si>
  <si>
    <t>Amortization</t>
  </si>
  <si>
    <t>Lease</t>
  </si>
  <si>
    <t>Gain of Investments</t>
  </si>
  <si>
    <t>Other</t>
  </si>
  <si>
    <t>Assets</t>
  </si>
  <si>
    <t>Prepaids</t>
  </si>
  <si>
    <t>PP&amp;E</t>
  </si>
  <si>
    <t>Goodwill</t>
  </si>
  <si>
    <t>Compensation</t>
  </si>
  <si>
    <t>SE</t>
  </si>
  <si>
    <t>L+SE</t>
  </si>
  <si>
    <t>Revenue y/y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</si>
  <si>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</si>
  <si>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</si>
  <si>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</si>
  <si>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</si>
  <si>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</si>
  <si>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</si>
  <si>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</si>
  <si>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</si>
  <si>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</si>
  <si>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Net Cash</t>
  </si>
  <si>
    <t>DR y/y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</si>
  <si>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</si>
  <si>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</si>
  <si>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</si>
  <si>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</si>
  <si>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</si>
  <si>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</si>
  <si>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</si>
  <si>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</si>
  <si>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>FQ126</t>
  </si>
  <si>
    <t>FQ226</t>
  </si>
  <si>
    <t>FQ326</t>
  </si>
  <si>
    <t>FQ426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</si>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</sst>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4" fontId="2" fillId="0" borderId="0" xfId="1" applyNumberFormat="1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316FEBC-FB4E-44C1-A7CB-2B0F0D427D1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49513</xdr:colOff>
      <xdr:row>0</xdr:row>
      <xdr:rowOff>0</xdr:rowOff>
    </xdr:from>
    <xdr:to>
      <xdr:col>19</xdr:col>
      <xdr:colOff>49513</xdr:colOff>
      <xdr:row>71</xdr:row>
      <xdr:rowOff>13138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1B4B9D6-FF96-9622-0037-91C356FF84D0}"/>
            </a:ext>
          </a:extLst>
        </xdr:cNvPr>
        <xdr:cNvCxnSpPr/>
      </xdr:nvCxnSpPr>
      <xdr:spPr>
        <a:xfrm>
          <a:off x="14991720" y="0"/>
          <a:ext cx="0" cy="112154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57396</xdr:colOff>
      <xdr:row>0</xdr:row>
      <xdr:rowOff>0</xdr:rowOff>
    </xdr:from>
    <xdr:to>
      <xdr:col>28</xdr:col>
      <xdr:colOff>57396</xdr:colOff>
      <xdr:row>51</xdr:row>
      <xdr:rowOff>104775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6A2D2E3-E04C-4AE9-BF88-DE3EF51FD07C}"/>
            </a:ext>
          </a:extLst>
        </xdr:cNvPr>
        <xdr:cNvCxnSpPr/>
      </xdr:nvCxnSpPr>
      <xdr:spPr>
        <a:xfrm>
          <a:off x="21283913" y="0"/>
          <a:ext cx="0" cy="81539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CDB3-68AB-4CD4-9FC3-F425B5C54209}">
  <dimension ref="L3:N8"/>
  <sheetViews>
    <sheetView zoomScaleNormal="100" workbookViewId="0">
      <selection activeCell="N8" sqref="N8"/>
    </sheetView>
  </sheetViews>
  <sheetFormatPr defaultColWidth="8.85546875" defaultRowHeight="12.75" x14ac:dyDescent="0.2"/>
  <sheetData>
    <row r="3" spans="12:14" x14ac:dyDescent="0.2">
      <c r="L3" t="s">
        <v>0</v>
      </c>
      <c r="M3" s="1">
        <v>241.74</v>
      </c>
    </row>
    <row r="4" spans="12:14" x14ac:dyDescent="0.2">
      <c r="L4" t="s">
        <v>1</v>
      </c>
      <c r="M4" s="3">
        <v>270</v>
      </c>
      <c r="N4" s="2" t="s">
        <v>76</v>
      </c>
    </row>
    <row r="5" spans="12:14" x14ac:dyDescent="0.2">
      <c r="L5" t="s">
        <v>2</v>
      </c>
      <c r="M5" s="3">
        <f>+M3*M4</f>
        <v>65269.8</v>
      </c>
    </row>
    <row r="6" spans="12:14" x14ac:dyDescent="0.2">
      <c r="L6" t="s">
        <v>3</v>
      </c>
      <c r="M6" s="3">
        <v>7970</v>
      </c>
      <c r="N6" s="2" t="s">
        <v>76</v>
      </c>
    </row>
    <row r="7" spans="12:14" x14ac:dyDescent="0.2">
      <c r="L7" t="s">
        <v>4</v>
      </c>
      <c r="M7" s="3">
        <v>2985</v>
      </c>
      <c r="N7" s="2" t="s">
        <v>76</v>
      </c>
    </row>
    <row r="8" spans="12:14" x14ac:dyDescent="0.2">
      <c r="L8" t="s">
        <v>5</v>
      </c>
      <c r="M8" s="3">
        <f>+M5-M6+M7</f>
        <v>60284.800000000003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B2AA-1F81-4F08-BB5B-5CC1179A46E9}">
  <dimension ref="A1:AG61"/>
  <sheetViews>
    <sheetView tabSelected="1" zoomScaleNormal="10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AC20" sqref="AC20"/>
    </sheetView>
  </sheetViews>
  <sheetFormatPr defaultColWidth="8.85546875" defaultRowHeight="12.75" x14ac:dyDescent="0.2"/>
  <cols>
    <col min="1" max="1" width="5" bestFit="1" customWidth="1"/>
    <col min="2" max="2" width="17.42578125" bestFit="1" customWidth="1"/>
    <col min="3" max="15" width="10.5703125" style="2" bestFit="1" customWidth="1"/>
    <col min="16" max="22" width="10.5703125" bestFit="1" customWidth="1"/>
    <col min="25" max="27" width="9.140625" style="2"/>
    <col min="28" max="29" width="10.5703125" style="2" bestFit="1" customWidth="1"/>
    <col min="30" max="33" width="9.140625" style="2"/>
  </cols>
  <sheetData>
    <row r="1" spans="1:33" s="10" customFormat="1" x14ac:dyDescent="0.2">
      <c r="A1" s="9" t="s">
        <v>6</v>
      </c>
      <c r="C1" s="11">
        <v>44316</v>
      </c>
      <c r="D1" s="11">
        <v>44408</v>
      </c>
      <c r="E1" s="11">
        <v>44500</v>
      </c>
      <c r="F1" s="11">
        <v>44592</v>
      </c>
      <c r="G1" s="11">
        <v>44681</v>
      </c>
      <c r="H1" s="11">
        <f>+G1+92</f>
        <v>44773</v>
      </c>
      <c r="I1" s="11">
        <f>+H1+92</f>
        <v>44865</v>
      </c>
      <c r="J1" s="11">
        <f>+I1+92</f>
        <v>44957</v>
      </c>
      <c r="K1" s="11">
        <f>+G1+365</f>
        <v>45046</v>
      </c>
      <c r="L1" s="11">
        <f>+H1+365</f>
        <v>45138</v>
      </c>
      <c r="M1" s="11">
        <f>+I1+365</f>
        <v>45230</v>
      </c>
      <c r="N1" s="11">
        <f>+J1+365</f>
        <v>45322</v>
      </c>
      <c r="O1" s="11">
        <f>+K1+366</f>
        <v>45412</v>
      </c>
      <c r="P1" s="11">
        <f t="shared" ref="P1:R1" si="0">+L1+366</f>
        <v>45504</v>
      </c>
      <c r="Q1" s="11">
        <f t="shared" si="0"/>
        <v>45596</v>
      </c>
      <c r="R1" s="11">
        <f t="shared" si="0"/>
        <v>45688</v>
      </c>
      <c r="S1" s="11">
        <v>45777</v>
      </c>
      <c r="T1" s="11">
        <f>+P1+365</f>
        <v>45869</v>
      </c>
      <c r="U1" s="11">
        <f>+Q1+365</f>
        <v>45961</v>
      </c>
      <c r="V1" s="11">
        <f>+R1+365</f>
        <v>46053</v>
      </c>
      <c r="W1" s="11"/>
      <c r="Y1" s="11"/>
      <c r="Z1" s="11"/>
      <c r="AA1" s="11"/>
      <c r="AB1" s="11">
        <f>+R1</f>
        <v>45688</v>
      </c>
      <c r="AC1" s="11">
        <f>+V1</f>
        <v>46053</v>
      </c>
      <c r="AD1" s="11"/>
      <c r="AE1" s="11"/>
      <c r="AF1" s="11"/>
      <c r="AG1" s="11"/>
    </row>
    <row r="2" spans="1:33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64</v>
      </c>
      <c r="L2" s="2" t="s">
        <v>65</v>
      </c>
      <c r="M2" s="2" t="s">
        <v>66</v>
      </c>
      <c r="N2" s="2" t="s">
        <v>67</v>
      </c>
      <c r="O2" s="2" t="s">
        <v>68</v>
      </c>
      <c r="P2" s="2" t="s">
        <v>69</v>
      </c>
      <c r="Q2" s="2" t="s">
        <v>70</v>
      </c>
      <c r="R2" s="2" t="s">
        <v>71</v>
      </c>
      <c r="S2" s="2" t="s">
        <v>72</v>
      </c>
      <c r="T2" s="2" t="s">
        <v>73</v>
      </c>
      <c r="U2" s="2" t="s">
        <v>74</v>
      </c>
      <c r="V2" s="2" t="s">
        <v>75</v>
      </c>
      <c r="W2" s="2"/>
      <c r="Y2" s="2" t="s">
        <v>53</v>
      </c>
      <c r="Z2" s="2" t="s">
        <v>54</v>
      </c>
      <c r="AA2" s="2" t="s">
        <v>55</v>
      </c>
      <c r="AB2" s="2" t="s">
        <v>56</v>
      </c>
      <c r="AC2" s="2" t="s">
        <v>57</v>
      </c>
      <c r="AD2" s="2" t="s">
        <v>58</v>
      </c>
      <c r="AE2" s="2" t="s">
        <v>59</v>
      </c>
      <c r="AF2" s="2" t="s">
        <v>60</v>
      </c>
      <c r="AG2" s="2" t="s">
        <v>61</v>
      </c>
    </row>
    <row r="3" spans="1:33" s="3" customFormat="1" x14ac:dyDescent="0.2">
      <c r="B3" s="3" t="s">
        <v>16</v>
      </c>
      <c r="C3" s="4">
        <v>1032.1690000000001</v>
      </c>
      <c r="D3" s="4">
        <v>1113.454</v>
      </c>
      <c r="E3" s="4">
        <v>1171.5170000000001</v>
      </c>
      <c r="F3" s="4">
        <v>1229.173</v>
      </c>
      <c r="G3" s="4">
        <v>1272.076</v>
      </c>
      <c r="H3" s="4">
        <v>1367.335</v>
      </c>
      <c r="I3" s="4">
        <v>1432.393</v>
      </c>
      <c r="J3" s="4">
        <v>1495.402</v>
      </c>
      <c r="K3" s="4">
        <v>1528</v>
      </c>
      <c r="L3" s="4">
        <v>1624</v>
      </c>
      <c r="M3" s="4">
        <v>1691</v>
      </c>
      <c r="N3" s="4">
        <v>1760</v>
      </c>
      <c r="O3" s="4">
        <v>1815</v>
      </c>
      <c r="P3" s="3">
        <v>1903</v>
      </c>
      <c r="Q3" s="3">
        <v>1959</v>
      </c>
      <c r="R3" s="3">
        <v>2040</v>
      </c>
      <c r="S3" s="3">
        <v>2059</v>
      </c>
      <c r="T3" s="3">
        <f t="shared" ref="T3:V4" si="1">+P3*1.1</f>
        <v>2093.3000000000002</v>
      </c>
      <c r="U3" s="3">
        <f t="shared" si="1"/>
        <v>2154.9</v>
      </c>
      <c r="V3" s="3">
        <f t="shared" si="1"/>
        <v>2244</v>
      </c>
      <c r="Y3" s="4">
        <f>SUM(C3:F3)</f>
        <v>4546.3130000000001</v>
      </c>
      <c r="Z3" s="4">
        <f>SUM(G3:J3)</f>
        <v>5567.2060000000001</v>
      </c>
      <c r="AA3" s="4">
        <f>SUM(K3:N3)</f>
        <v>6603</v>
      </c>
      <c r="AB3" s="4">
        <f>SUM(O3:R3)</f>
        <v>7717</v>
      </c>
      <c r="AC3" s="4">
        <f>SUM(S3:V3)</f>
        <v>8551.2000000000007</v>
      </c>
      <c r="AD3" s="4"/>
      <c r="AE3" s="4"/>
      <c r="AF3" s="4"/>
      <c r="AG3" s="4"/>
    </row>
    <row r="4" spans="1:33" s="3" customFormat="1" x14ac:dyDescent="0.2">
      <c r="B4" s="3" t="s">
        <v>17</v>
      </c>
      <c r="C4" s="4">
        <v>142.864</v>
      </c>
      <c r="D4" s="4">
        <v>146.90700000000001</v>
      </c>
      <c r="E4" s="4">
        <v>155.74600000000001</v>
      </c>
      <c r="F4" s="4">
        <v>146.96799999999999</v>
      </c>
      <c r="G4" s="4">
        <v>162.58099999999999</v>
      </c>
      <c r="H4" s="4">
        <v>168.46299999999999</v>
      </c>
      <c r="I4" s="4">
        <v>166.71</v>
      </c>
      <c r="J4" s="4">
        <v>150.858</v>
      </c>
      <c r="K4" s="4">
        <v>156</v>
      </c>
      <c r="L4" s="4">
        <v>163</v>
      </c>
      <c r="M4" s="4">
        <v>175</v>
      </c>
      <c r="N4" s="4">
        <v>162</v>
      </c>
      <c r="O4" s="4">
        <v>175</v>
      </c>
      <c r="P4" s="3">
        <v>182</v>
      </c>
      <c r="Q4" s="3">
        <v>201</v>
      </c>
      <c r="R4" s="3">
        <v>171</v>
      </c>
      <c r="S4" s="3">
        <v>181</v>
      </c>
      <c r="T4" s="3">
        <f t="shared" si="1"/>
        <v>200.20000000000002</v>
      </c>
      <c r="U4" s="3">
        <f t="shared" si="1"/>
        <v>221.10000000000002</v>
      </c>
      <c r="V4" s="3">
        <f t="shared" si="1"/>
        <v>188.10000000000002</v>
      </c>
      <c r="Y4" s="4">
        <f>SUM(C4:F4)</f>
        <v>592.48500000000001</v>
      </c>
      <c r="Z4" s="4">
        <f>SUM(G4:J4)</f>
        <v>648.61200000000008</v>
      </c>
      <c r="AA4" s="4">
        <f>SUM(K4:N4)</f>
        <v>656</v>
      </c>
      <c r="AB4" s="4">
        <f>SUM(O4:R4)</f>
        <v>729</v>
      </c>
      <c r="AC4" s="4">
        <f>SUM(S4:V4)</f>
        <v>790.40000000000009</v>
      </c>
      <c r="AD4" s="4"/>
      <c r="AE4" s="4"/>
      <c r="AF4" s="4"/>
      <c r="AG4" s="4"/>
    </row>
    <row r="5" spans="1:33" s="5" customFormat="1" x14ac:dyDescent="0.2">
      <c r="B5" s="5" t="s">
        <v>7</v>
      </c>
      <c r="C5" s="6">
        <f t="shared" ref="C5:G5" si="2">+C3+C4</f>
        <v>1175.0330000000001</v>
      </c>
      <c r="D5" s="6">
        <f t="shared" si="2"/>
        <v>1260.3609999999999</v>
      </c>
      <c r="E5" s="6">
        <f t="shared" si="2"/>
        <v>1327.2630000000001</v>
      </c>
      <c r="F5" s="6">
        <f t="shared" si="2"/>
        <v>1376.1410000000001</v>
      </c>
      <c r="G5" s="6">
        <f t="shared" si="2"/>
        <v>1434.6569999999999</v>
      </c>
      <c r="H5" s="6">
        <f>H3+H4</f>
        <v>1535.798</v>
      </c>
      <c r="I5" s="6">
        <f>I3+I4</f>
        <v>1599.1030000000001</v>
      </c>
      <c r="J5" s="6">
        <f>J3+J4</f>
        <v>1646.26</v>
      </c>
      <c r="K5" s="6">
        <f t="shared" ref="K5:V5" si="3">+K3+K4</f>
        <v>1684</v>
      </c>
      <c r="L5" s="6">
        <f t="shared" si="3"/>
        <v>1787</v>
      </c>
      <c r="M5" s="6">
        <f t="shared" si="3"/>
        <v>1866</v>
      </c>
      <c r="N5" s="5">
        <f t="shared" si="3"/>
        <v>1922</v>
      </c>
      <c r="O5" s="5">
        <f t="shared" si="3"/>
        <v>1990</v>
      </c>
      <c r="P5" s="5">
        <f t="shared" si="3"/>
        <v>2085</v>
      </c>
      <c r="Q5" s="5">
        <f t="shared" si="3"/>
        <v>2160</v>
      </c>
      <c r="R5" s="5">
        <f t="shared" si="3"/>
        <v>2211</v>
      </c>
      <c r="S5" s="5">
        <f t="shared" si="3"/>
        <v>2240</v>
      </c>
      <c r="T5" s="5">
        <f t="shared" si="3"/>
        <v>2293.5</v>
      </c>
      <c r="U5" s="5">
        <f t="shared" si="3"/>
        <v>2376</v>
      </c>
      <c r="V5" s="5">
        <f t="shared" si="3"/>
        <v>2432.1</v>
      </c>
      <c r="Y5" s="6">
        <f>Y3+Y4</f>
        <v>5138.7979999999998</v>
      </c>
      <c r="Z5" s="6">
        <f t="shared" ref="Z5:AC5" si="4">Z3+Z4</f>
        <v>6215.8180000000002</v>
      </c>
      <c r="AA5" s="6">
        <f t="shared" si="4"/>
        <v>7259</v>
      </c>
      <c r="AB5" s="6">
        <f t="shared" si="4"/>
        <v>8446</v>
      </c>
      <c r="AC5" s="6">
        <f t="shared" si="4"/>
        <v>9341.6</v>
      </c>
      <c r="AD5" s="6"/>
      <c r="AE5" s="6"/>
      <c r="AF5" s="6"/>
      <c r="AG5" s="6"/>
    </row>
    <row r="6" spans="1:33" s="3" customFormat="1" x14ac:dyDescent="0.2">
      <c r="B6" s="3" t="s">
        <v>18</v>
      </c>
      <c r="C6" s="4">
        <f>182.208+150.845</f>
        <v>333.053</v>
      </c>
      <c r="D6" s="4">
        <f>192.738+152.783</f>
        <v>345.52099999999996</v>
      </c>
      <c r="E6" s="4">
        <f>200.7+159.024</f>
        <v>359.72399999999999</v>
      </c>
      <c r="F6" s="4">
        <f>220.208+169.589</f>
        <v>389.79700000000003</v>
      </c>
      <c r="G6" s="4">
        <f>232.922+169.899</f>
        <v>402.82100000000003</v>
      </c>
      <c r="H6" s="4">
        <f>244.982+178.103</f>
        <v>423.08500000000004</v>
      </c>
      <c r="I6" s="4">
        <f>259.397+176.396</f>
        <v>435.79300000000001</v>
      </c>
      <c r="J6" s="4">
        <f>274.146+179.333</f>
        <v>453.47900000000004</v>
      </c>
      <c r="K6" s="4">
        <f>239+178</f>
        <v>417</v>
      </c>
      <c r="L6" s="4">
        <f>256+192</f>
        <v>448</v>
      </c>
      <c r="M6" s="4">
        <f>264+181</f>
        <v>445</v>
      </c>
      <c r="N6" s="4">
        <f>272+189</f>
        <v>461</v>
      </c>
      <c r="O6" s="4">
        <f>290+199</f>
        <v>489</v>
      </c>
      <c r="P6" s="3">
        <f>304+207</f>
        <v>511</v>
      </c>
      <c r="Q6" s="3">
        <f>329+201</f>
        <v>530</v>
      </c>
      <c r="R6" s="3">
        <f>343+197</f>
        <v>540</v>
      </c>
      <c r="S6" s="3">
        <f>350+187</f>
        <v>537</v>
      </c>
      <c r="T6" s="3">
        <f>+T5-T7</f>
        <v>550.44000000000005</v>
      </c>
      <c r="U6" s="3">
        <f>+U5-U7</f>
        <v>570.24</v>
      </c>
      <c r="V6" s="3">
        <f>+V5-V7</f>
        <v>583.70399999999995</v>
      </c>
      <c r="Y6" s="4">
        <f>SUM(C6:F6)</f>
        <v>1428.095</v>
      </c>
      <c r="Z6" s="4">
        <f>SUM(G6:J6)</f>
        <v>1715.1780000000001</v>
      </c>
      <c r="AA6" s="4"/>
      <c r="AB6" s="4"/>
      <c r="AC6" s="4"/>
      <c r="AD6" s="4"/>
      <c r="AE6" s="4"/>
      <c r="AF6" s="4"/>
      <c r="AG6" s="4"/>
    </row>
    <row r="7" spans="1:33" s="3" customFormat="1" x14ac:dyDescent="0.2">
      <c r="B7" s="3" t="s">
        <v>19</v>
      </c>
      <c r="C7" s="4">
        <f t="shared" ref="C7:G7" si="5">+C5-C6</f>
        <v>841.98000000000013</v>
      </c>
      <c r="D7" s="4">
        <f t="shared" si="5"/>
        <v>914.83999999999992</v>
      </c>
      <c r="E7" s="4">
        <f t="shared" si="5"/>
        <v>967.53900000000021</v>
      </c>
      <c r="F7" s="4">
        <f t="shared" si="5"/>
        <v>986.34400000000005</v>
      </c>
      <c r="G7" s="4">
        <f t="shared" si="5"/>
        <v>1031.8359999999998</v>
      </c>
      <c r="H7" s="4">
        <f>H5-H6</f>
        <v>1112.713</v>
      </c>
      <c r="I7" s="4">
        <f>I5-I6</f>
        <v>1163.31</v>
      </c>
      <c r="J7" s="4">
        <f>J5-J6</f>
        <v>1192.7809999999999</v>
      </c>
      <c r="K7" s="4">
        <f t="shared" ref="K7:S7" si="6">+K5-K6</f>
        <v>1267</v>
      </c>
      <c r="L7" s="4">
        <f t="shared" si="6"/>
        <v>1339</v>
      </c>
      <c r="M7" s="4">
        <f t="shared" si="6"/>
        <v>1421</v>
      </c>
      <c r="N7" s="4">
        <f t="shared" si="6"/>
        <v>1461</v>
      </c>
      <c r="O7" s="3">
        <f t="shared" si="6"/>
        <v>1501</v>
      </c>
      <c r="P7" s="3">
        <f t="shared" si="6"/>
        <v>1574</v>
      </c>
      <c r="Q7" s="3">
        <f t="shared" si="6"/>
        <v>1630</v>
      </c>
      <c r="R7" s="3">
        <f t="shared" si="6"/>
        <v>1671</v>
      </c>
      <c r="S7" s="3">
        <f t="shared" si="6"/>
        <v>1703</v>
      </c>
      <c r="T7" s="3">
        <f>+T5*0.76</f>
        <v>1743.06</v>
      </c>
      <c r="U7" s="3">
        <f>+U5*0.76</f>
        <v>1805.76</v>
      </c>
      <c r="V7" s="3">
        <f>+V5*0.76</f>
        <v>1848.396</v>
      </c>
      <c r="Y7" s="4">
        <f>Y5-Y6</f>
        <v>3710.7029999999995</v>
      </c>
      <c r="Z7" s="4">
        <f>Z5-Z6</f>
        <v>4500.6400000000003</v>
      </c>
      <c r="AA7" s="4"/>
      <c r="AB7" s="4"/>
      <c r="AC7" s="4"/>
      <c r="AD7" s="4"/>
      <c r="AE7" s="4"/>
      <c r="AF7" s="4"/>
      <c r="AG7" s="4"/>
    </row>
    <row r="8" spans="1:33" s="3" customFormat="1" x14ac:dyDescent="0.2">
      <c r="B8" s="3" t="s">
        <v>20</v>
      </c>
      <c r="C8" s="4">
        <v>441.61599999999999</v>
      </c>
      <c r="D8" s="4">
        <v>444.25099999999998</v>
      </c>
      <c r="E8" s="4">
        <v>455.61500000000001</v>
      </c>
      <c r="F8" s="4">
        <v>537.73800000000006</v>
      </c>
      <c r="G8" s="4">
        <v>541.50900000000001</v>
      </c>
      <c r="H8" s="4">
        <v>547.83500000000004</v>
      </c>
      <c r="I8" s="4">
        <v>565.72699999999998</v>
      </c>
      <c r="J8" s="4">
        <v>615.58900000000006</v>
      </c>
      <c r="K8" s="4">
        <v>600</v>
      </c>
      <c r="L8" s="4">
        <v>610</v>
      </c>
      <c r="M8" s="4">
        <v>619</v>
      </c>
      <c r="N8" s="4">
        <v>635</v>
      </c>
      <c r="O8" s="4">
        <v>656</v>
      </c>
      <c r="P8" s="3">
        <v>649</v>
      </c>
      <c r="Q8" s="3">
        <v>647</v>
      </c>
      <c r="R8" s="3">
        <v>673</v>
      </c>
      <c r="S8" s="3">
        <v>663</v>
      </c>
      <c r="T8" s="3">
        <f>+P8*1.03</f>
        <v>668.47</v>
      </c>
      <c r="U8" s="3">
        <f t="shared" ref="U8:U10" si="7">+Q8*1.03</f>
        <v>666.41</v>
      </c>
      <c r="V8" s="3">
        <f t="shared" ref="V8:V10" si="8">+R8*1.03</f>
        <v>693.19</v>
      </c>
      <c r="Y8" s="4">
        <f>SUM(C8:F8)</f>
        <v>1879.22</v>
      </c>
      <c r="Z8" s="4">
        <f>SUM(G8:J8)</f>
        <v>2270.66</v>
      </c>
      <c r="AA8" s="4"/>
      <c r="AB8" s="4"/>
      <c r="AC8" s="4"/>
      <c r="AD8" s="4"/>
      <c r="AE8" s="4"/>
      <c r="AF8" s="4"/>
      <c r="AG8" s="4"/>
    </row>
    <row r="9" spans="1:33" s="3" customFormat="1" x14ac:dyDescent="0.2">
      <c r="B9" s="3" t="s">
        <v>21</v>
      </c>
      <c r="C9" s="4">
        <v>326.49400000000003</v>
      </c>
      <c r="D9" s="4">
        <v>358.15699999999998</v>
      </c>
      <c r="E9" s="4">
        <v>366.32299999999998</v>
      </c>
      <c r="F9" s="4">
        <v>410.947</v>
      </c>
      <c r="G9" s="4">
        <v>429.30099999999999</v>
      </c>
      <c r="H9" s="4">
        <v>458.70100000000002</v>
      </c>
      <c r="I9" s="4">
        <v>470.19600000000003</v>
      </c>
      <c r="J9" s="4">
        <v>489.89499999999998</v>
      </c>
      <c r="K9" s="4">
        <v>519</v>
      </c>
      <c r="L9" s="4">
        <v>524</v>
      </c>
      <c r="M9" s="4">
        <v>538</v>
      </c>
      <c r="N9" s="4">
        <v>558</v>
      </c>
      <c r="O9" s="4">
        <v>573</v>
      </c>
      <c r="P9" s="3">
        <v>611</v>
      </c>
      <c r="Q9" s="3">
        <v>620</v>
      </c>
      <c r="R9" s="3">
        <v>629</v>
      </c>
      <c r="S9" s="3">
        <v>623</v>
      </c>
      <c r="T9" s="3">
        <f t="shared" ref="T9:T10" si="9">+P9*1.03</f>
        <v>629.33000000000004</v>
      </c>
      <c r="U9" s="3">
        <f t="shared" si="7"/>
        <v>638.6</v>
      </c>
      <c r="V9" s="3">
        <f t="shared" si="8"/>
        <v>647.87</v>
      </c>
      <c r="Y9" s="4">
        <f>SUM(C9:F9)</f>
        <v>1461.9210000000003</v>
      </c>
      <c r="Z9" s="4">
        <f>SUM(G9:J9)</f>
        <v>1848.0929999999998</v>
      </c>
      <c r="AA9" s="4"/>
      <c r="AB9" s="4"/>
      <c r="AC9" s="4"/>
      <c r="AD9" s="4"/>
      <c r="AE9" s="4"/>
      <c r="AF9" s="4"/>
      <c r="AG9" s="4"/>
    </row>
    <row r="10" spans="1:33" s="3" customFormat="1" x14ac:dyDescent="0.2">
      <c r="B10" s="3" t="s">
        <v>22</v>
      </c>
      <c r="C10" s="4">
        <v>112.18300000000001</v>
      </c>
      <c r="D10" s="4">
        <v>113.55200000000001</v>
      </c>
      <c r="E10" s="4">
        <v>121.65600000000001</v>
      </c>
      <c r="F10" s="4">
        <v>138.62100000000001</v>
      </c>
      <c r="G10" s="4">
        <v>133.869</v>
      </c>
      <c r="H10" s="4">
        <v>140.255</v>
      </c>
      <c r="I10" s="4">
        <v>153.708</v>
      </c>
      <c r="J10" s="4">
        <v>176.255</v>
      </c>
      <c r="K10" s="4">
        <v>168</v>
      </c>
      <c r="L10" s="4">
        <v>169</v>
      </c>
      <c r="M10" s="4">
        <v>176</v>
      </c>
      <c r="N10" s="4">
        <v>189</v>
      </c>
      <c r="O10" s="4">
        <v>200</v>
      </c>
      <c r="P10" s="3">
        <v>203</v>
      </c>
      <c r="Q10" s="3">
        <v>198</v>
      </c>
      <c r="R10" s="3">
        <v>219</v>
      </c>
      <c r="S10" s="3">
        <v>212</v>
      </c>
      <c r="T10" s="3">
        <f t="shared" si="9"/>
        <v>209.09</v>
      </c>
      <c r="U10" s="3">
        <f t="shared" si="7"/>
        <v>203.94</v>
      </c>
      <c r="V10" s="3">
        <f t="shared" si="8"/>
        <v>225.57</v>
      </c>
      <c r="Y10" s="4">
        <f>SUM(C10:F10)</f>
        <v>486.01200000000006</v>
      </c>
      <c r="Z10" s="4">
        <f>SUM(G10:J10)</f>
        <v>604.08699999999999</v>
      </c>
      <c r="AA10" s="4"/>
      <c r="AB10" s="4"/>
      <c r="AC10" s="4"/>
      <c r="AD10" s="4"/>
      <c r="AE10" s="4"/>
      <c r="AF10" s="4"/>
      <c r="AG10" s="4"/>
    </row>
    <row r="11" spans="1:33" s="3" customFormat="1" x14ac:dyDescent="0.2">
      <c r="B11" s="3" t="s">
        <v>23</v>
      </c>
      <c r="C11" s="4">
        <f t="shared" ref="C11:G11" si="10">SUM(C8:C10)</f>
        <v>880.29300000000001</v>
      </c>
      <c r="D11" s="4">
        <f t="shared" si="10"/>
        <v>915.95999999999992</v>
      </c>
      <c r="E11" s="4">
        <f t="shared" si="10"/>
        <v>943.59400000000005</v>
      </c>
      <c r="F11" s="4">
        <f t="shared" si="10"/>
        <v>1087.306</v>
      </c>
      <c r="G11" s="4">
        <f t="shared" si="10"/>
        <v>1104.6789999999999</v>
      </c>
      <c r="H11" s="4">
        <f t="shared" ref="H11:J11" si="11">SUM(H8:H10)</f>
        <v>1146.7910000000002</v>
      </c>
      <c r="I11" s="4">
        <f t="shared" si="11"/>
        <v>1189.6310000000001</v>
      </c>
      <c r="J11" s="4">
        <f t="shared" si="11"/>
        <v>1281.739</v>
      </c>
      <c r="K11" s="4">
        <f t="shared" ref="K11:V11" si="12">SUM(K8:K10)</f>
        <v>1287</v>
      </c>
      <c r="L11" s="4">
        <f t="shared" si="12"/>
        <v>1303</v>
      </c>
      <c r="M11" s="4">
        <f t="shared" si="12"/>
        <v>1333</v>
      </c>
      <c r="N11" s="4">
        <f t="shared" si="12"/>
        <v>1382</v>
      </c>
      <c r="O11" s="4">
        <f t="shared" si="12"/>
        <v>1429</v>
      </c>
      <c r="P11" s="4">
        <f t="shared" si="12"/>
        <v>1463</v>
      </c>
      <c r="Q11" s="4">
        <f t="shared" si="12"/>
        <v>1465</v>
      </c>
      <c r="R11" s="4">
        <f t="shared" si="12"/>
        <v>1521</v>
      </c>
      <c r="S11" s="4">
        <f t="shared" si="12"/>
        <v>1498</v>
      </c>
      <c r="T11" s="4">
        <f t="shared" si="12"/>
        <v>1506.89</v>
      </c>
      <c r="U11" s="4">
        <f t="shared" si="12"/>
        <v>1508.95</v>
      </c>
      <c r="V11" s="4">
        <f t="shared" si="12"/>
        <v>1566.6299999999999</v>
      </c>
      <c r="W11" s="4"/>
      <c r="Y11" s="4">
        <f t="shared" ref="Y11:Z11" si="13">SUM(Y8:Y10)</f>
        <v>3827.1530000000007</v>
      </c>
      <c r="Z11" s="4">
        <f t="shared" si="13"/>
        <v>4722.84</v>
      </c>
      <c r="AA11" s="4"/>
      <c r="AB11" s="4"/>
      <c r="AC11" s="4"/>
      <c r="AD11" s="4"/>
      <c r="AE11" s="4"/>
      <c r="AF11" s="4"/>
      <c r="AG11" s="4"/>
    </row>
    <row r="12" spans="1:33" s="3" customFormat="1" x14ac:dyDescent="0.2">
      <c r="B12" s="3" t="s">
        <v>24</v>
      </c>
      <c r="C12" s="4">
        <f t="shared" ref="C12:G12" si="14">C7-C11</f>
        <v>-38.312999999999874</v>
      </c>
      <c r="D12" s="4">
        <f t="shared" si="14"/>
        <v>-1.1200000000000045</v>
      </c>
      <c r="E12" s="4">
        <f t="shared" si="14"/>
        <v>23.945000000000164</v>
      </c>
      <c r="F12" s="4">
        <f t="shared" si="14"/>
        <v>-100.96199999999999</v>
      </c>
      <c r="G12" s="4">
        <f t="shared" si="14"/>
        <v>-72.843000000000075</v>
      </c>
      <c r="H12" s="4">
        <f t="shared" ref="H12:J12" si="15">H7-H11</f>
        <v>-34.078000000000202</v>
      </c>
      <c r="I12" s="4">
        <f t="shared" si="15"/>
        <v>-26.32100000000014</v>
      </c>
      <c r="J12" s="4">
        <f t="shared" si="15"/>
        <v>-88.958000000000084</v>
      </c>
      <c r="K12" s="4">
        <f t="shared" ref="K12:V12" si="16">K7-K11</f>
        <v>-20</v>
      </c>
      <c r="L12" s="4">
        <f t="shared" si="16"/>
        <v>36</v>
      </c>
      <c r="M12" s="4">
        <f t="shared" si="16"/>
        <v>88</v>
      </c>
      <c r="N12" s="4">
        <f t="shared" si="16"/>
        <v>79</v>
      </c>
      <c r="O12" s="4">
        <f t="shared" si="16"/>
        <v>72</v>
      </c>
      <c r="P12" s="4">
        <f t="shared" si="16"/>
        <v>111</v>
      </c>
      <c r="Q12" s="4">
        <f t="shared" si="16"/>
        <v>165</v>
      </c>
      <c r="R12" s="4">
        <f t="shared" si="16"/>
        <v>150</v>
      </c>
      <c r="S12" s="4">
        <f t="shared" si="16"/>
        <v>205</v>
      </c>
      <c r="T12" s="4">
        <f t="shared" si="16"/>
        <v>236.16999999999985</v>
      </c>
      <c r="U12" s="4">
        <f t="shared" si="16"/>
        <v>296.80999999999995</v>
      </c>
      <c r="V12" s="4">
        <f t="shared" si="16"/>
        <v>281.76600000000008</v>
      </c>
      <c r="W12" s="4"/>
      <c r="Y12" s="4">
        <f t="shared" ref="Y12:Z12" si="17">Y7-Y11</f>
        <v>-116.45000000000118</v>
      </c>
      <c r="Z12" s="4">
        <f t="shared" si="17"/>
        <v>-222.19999999999982</v>
      </c>
      <c r="AA12" s="4"/>
      <c r="AB12" s="4"/>
      <c r="AC12" s="4"/>
      <c r="AD12" s="4"/>
      <c r="AE12" s="4"/>
      <c r="AF12" s="4"/>
      <c r="AG12" s="4"/>
    </row>
    <row r="13" spans="1:33" s="3" customFormat="1" x14ac:dyDescent="0.2">
      <c r="B13" s="3" t="s">
        <v>25</v>
      </c>
      <c r="C13" s="4">
        <v>-9.0510000000000002</v>
      </c>
      <c r="D13" s="4">
        <v>0</v>
      </c>
      <c r="E13" s="4">
        <v>21.556999999999999</v>
      </c>
      <c r="F13" s="4">
        <v>17.140999999999998</v>
      </c>
      <c r="G13" s="4">
        <v>-20.163</v>
      </c>
      <c r="H13" s="4">
        <v>-32.789000000000001</v>
      </c>
      <c r="I13" s="4">
        <v>4.1630000000000003</v>
      </c>
      <c r="J13" s="4">
        <v>11.039</v>
      </c>
      <c r="K13" s="4">
        <v>27</v>
      </c>
      <c r="L13" s="4">
        <v>46</v>
      </c>
      <c r="M13" s="4">
        <v>41</v>
      </c>
      <c r="N13" s="4">
        <v>59</v>
      </c>
      <c r="O13" s="4">
        <v>59</v>
      </c>
      <c r="P13" s="3">
        <v>57</v>
      </c>
      <c r="Q13" s="3">
        <v>62</v>
      </c>
      <c r="R13" s="3">
        <v>45</v>
      </c>
      <c r="S13" s="3">
        <v>64</v>
      </c>
      <c r="T13" s="3">
        <f>+S13</f>
        <v>64</v>
      </c>
      <c r="U13" s="3">
        <f>+T13</f>
        <v>64</v>
      </c>
      <c r="V13" s="3">
        <f>+U13</f>
        <v>64</v>
      </c>
      <c r="Y13" s="4">
        <f>SUM(C13:F13)</f>
        <v>29.646999999999998</v>
      </c>
      <c r="Z13" s="4">
        <f>SUM(G13:J13)</f>
        <v>-37.75</v>
      </c>
      <c r="AA13" s="4"/>
      <c r="AB13" s="4"/>
      <c r="AC13" s="4"/>
      <c r="AD13" s="4"/>
      <c r="AE13" s="4"/>
      <c r="AF13" s="4"/>
      <c r="AG13" s="4"/>
    </row>
    <row r="14" spans="1:33" s="3" customFormat="1" x14ac:dyDescent="0.2">
      <c r="B14" s="3" t="s">
        <v>26</v>
      </c>
      <c r="C14" s="4">
        <f t="shared" ref="C14:G14" si="18">+C12+C13</f>
        <v>-47.363999999999876</v>
      </c>
      <c r="D14" s="4">
        <f t="shared" si="18"/>
        <v>-1.1200000000000045</v>
      </c>
      <c r="E14" s="4">
        <f t="shared" si="18"/>
        <v>45.502000000000166</v>
      </c>
      <c r="F14" s="4">
        <f t="shared" si="18"/>
        <v>-83.820999999999998</v>
      </c>
      <c r="G14" s="4">
        <f t="shared" si="18"/>
        <v>-93.006000000000071</v>
      </c>
      <c r="H14" s="4">
        <f>H12+H13</f>
        <v>-66.867000000000203</v>
      </c>
      <c r="I14" s="4">
        <f>I12+I13</f>
        <v>-22.15800000000014</v>
      </c>
      <c r="J14" s="4">
        <f>J12+J13</f>
        <v>-77.919000000000082</v>
      </c>
      <c r="K14" s="4">
        <f t="shared" ref="K14:V14" si="19">K12+K13</f>
        <v>7</v>
      </c>
      <c r="L14" s="4">
        <f t="shared" si="19"/>
        <v>82</v>
      </c>
      <c r="M14" s="4">
        <f t="shared" si="19"/>
        <v>129</v>
      </c>
      <c r="N14" s="4">
        <f t="shared" si="19"/>
        <v>138</v>
      </c>
      <c r="O14" s="4">
        <f t="shared" si="19"/>
        <v>131</v>
      </c>
      <c r="P14" s="4">
        <f t="shared" si="19"/>
        <v>168</v>
      </c>
      <c r="Q14" s="4">
        <f t="shared" si="19"/>
        <v>227</v>
      </c>
      <c r="R14" s="4">
        <f t="shared" si="19"/>
        <v>195</v>
      </c>
      <c r="S14" s="4">
        <f t="shared" si="19"/>
        <v>269</v>
      </c>
      <c r="T14" s="4">
        <f t="shared" si="19"/>
        <v>300.16999999999985</v>
      </c>
      <c r="U14" s="4">
        <f t="shared" si="19"/>
        <v>360.80999999999995</v>
      </c>
      <c r="V14" s="4">
        <f t="shared" si="19"/>
        <v>345.76600000000008</v>
      </c>
      <c r="W14" s="4"/>
      <c r="Y14" s="4">
        <f>Y12+Y13</f>
        <v>-86.803000000001191</v>
      </c>
      <c r="Z14" s="4">
        <f>Z12+Z13</f>
        <v>-259.94999999999982</v>
      </c>
      <c r="AA14" s="4"/>
      <c r="AB14" s="4"/>
      <c r="AC14" s="4"/>
      <c r="AD14" s="4"/>
      <c r="AE14" s="4"/>
      <c r="AF14" s="4"/>
      <c r="AG14" s="4"/>
    </row>
    <row r="15" spans="1:33" s="3" customFormat="1" x14ac:dyDescent="0.2">
      <c r="B15" s="3" t="s">
        <v>27</v>
      </c>
      <c r="C15" s="4">
        <v>-0.84199999999999997</v>
      </c>
      <c r="D15" s="4">
        <v>-3.871</v>
      </c>
      <c r="E15" s="4">
        <v>2.09</v>
      </c>
      <c r="F15" s="4">
        <v>10.568</v>
      </c>
      <c r="G15" s="4">
        <v>9.1669999999999998</v>
      </c>
      <c r="H15" s="4">
        <v>0</v>
      </c>
      <c r="I15" s="4">
        <v>52.563000000000002</v>
      </c>
      <c r="J15" s="4">
        <v>0</v>
      </c>
      <c r="K15" s="4">
        <v>7</v>
      </c>
      <c r="L15" s="4">
        <v>3</v>
      </c>
      <c r="M15" s="4">
        <v>15</v>
      </c>
      <c r="N15" s="4">
        <v>0</v>
      </c>
      <c r="O15" s="4">
        <v>16</v>
      </c>
      <c r="P15" s="3">
        <v>36</v>
      </c>
      <c r="Q15" s="3">
        <v>34</v>
      </c>
      <c r="R15" s="3">
        <v>26</v>
      </c>
      <c r="S15" s="3">
        <v>35</v>
      </c>
      <c r="T15" s="3">
        <f>+T14*0.1</f>
        <v>30.016999999999985</v>
      </c>
      <c r="U15" s="3">
        <f>+U14*0.1</f>
        <v>36.080999999999996</v>
      </c>
      <c r="V15" s="3">
        <f>+V14*0.1</f>
        <v>34.576600000000006</v>
      </c>
      <c r="Y15" s="4">
        <f>SUM(C15:F15)</f>
        <v>7.9449999999999994</v>
      </c>
      <c r="Z15" s="4">
        <f>SUM(G15:J15)</f>
        <v>61.730000000000004</v>
      </c>
      <c r="AA15" s="4"/>
      <c r="AB15" s="4"/>
      <c r="AC15" s="4"/>
      <c r="AD15" s="4"/>
      <c r="AE15" s="4"/>
      <c r="AF15" s="4"/>
      <c r="AG15" s="4"/>
    </row>
    <row r="16" spans="1:33" s="3" customFormat="1" x14ac:dyDescent="0.2">
      <c r="B16" s="3" t="s">
        <v>28</v>
      </c>
      <c r="C16" s="4">
        <f t="shared" ref="C16:G16" si="20">+C14-C15</f>
        <v>-46.521999999999878</v>
      </c>
      <c r="D16" s="4">
        <f t="shared" si="20"/>
        <v>2.7509999999999954</v>
      </c>
      <c r="E16" s="4">
        <f t="shared" si="20"/>
        <v>43.412000000000162</v>
      </c>
      <c r="F16" s="4">
        <f t="shared" si="20"/>
        <v>-94.388999999999996</v>
      </c>
      <c r="G16" s="4">
        <f t="shared" si="20"/>
        <v>-102.17300000000007</v>
      </c>
      <c r="H16" s="4">
        <f t="shared" ref="H16:V16" si="21">+H14-H15</f>
        <v>-66.867000000000203</v>
      </c>
      <c r="I16" s="4">
        <f t="shared" si="21"/>
        <v>-74.721000000000146</v>
      </c>
      <c r="J16" s="4">
        <f t="shared" si="21"/>
        <v>-77.919000000000082</v>
      </c>
      <c r="K16" s="4">
        <f t="shared" si="21"/>
        <v>0</v>
      </c>
      <c r="L16" s="4">
        <f t="shared" si="21"/>
        <v>79</v>
      </c>
      <c r="M16" s="4">
        <f t="shared" si="21"/>
        <v>114</v>
      </c>
      <c r="N16" s="4">
        <f t="shared" si="21"/>
        <v>138</v>
      </c>
      <c r="O16" s="4">
        <f t="shared" si="21"/>
        <v>115</v>
      </c>
      <c r="P16" s="4">
        <f t="shared" si="21"/>
        <v>132</v>
      </c>
      <c r="Q16" s="4">
        <f t="shared" si="21"/>
        <v>193</v>
      </c>
      <c r="R16" s="4">
        <f t="shared" si="21"/>
        <v>169</v>
      </c>
      <c r="S16" s="4">
        <f t="shared" si="21"/>
        <v>234</v>
      </c>
      <c r="T16" s="4">
        <f t="shared" si="21"/>
        <v>270.15299999999985</v>
      </c>
      <c r="U16" s="4">
        <f t="shared" si="21"/>
        <v>324.72899999999993</v>
      </c>
      <c r="V16" s="4">
        <f t="shared" si="21"/>
        <v>311.18940000000009</v>
      </c>
      <c r="W16" s="4"/>
      <c r="Y16" s="4">
        <f>Y14-Y15</f>
        <v>-94.748000000001184</v>
      </c>
      <c r="Z16" s="4">
        <f>Z14-Z15</f>
        <v>-321.67999999999984</v>
      </c>
      <c r="AA16" s="4"/>
      <c r="AB16" s="4"/>
      <c r="AC16" s="4"/>
      <c r="AD16" s="4"/>
      <c r="AE16" s="4"/>
      <c r="AF16" s="4"/>
      <c r="AG16" s="4"/>
    </row>
    <row r="17" spans="2:33" x14ac:dyDescent="0.2">
      <c r="B17" s="3" t="s">
        <v>29</v>
      </c>
      <c r="C17" s="7">
        <f t="shared" ref="C17:G17" si="22">+C16/C18</f>
        <v>-0.19086810071428814</v>
      </c>
      <c r="D17" s="7">
        <f t="shared" si="22"/>
        <v>1.0580118146575578E-2</v>
      </c>
      <c r="E17" s="7">
        <f t="shared" si="22"/>
        <v>0.17040351703564202</v>
      </c>
      <c r="F17" s="7">
        <f t="shared" si="22"/>
        <v>-0.37749107153569583</v>
      </c>
      <c r="G17" s="7">
        <f t="shared" si="22"/>
        <v>-0.40586232785022852</v>
      </c>
      <c r="H17" s="7">
        <f t="shared" ref="H17:V17" si="23">+H16/H18</f>
        <v>-0.2614514785750322</v>
      </c>
      <c r="I17" s="7">
        <f t="shared" si="23"/>
        <v>-0.29216079576779219</v>
      </c>
      <c r="J17" s="7">
        <f t="shared" si="23"/>
        <v>-0.30280737752698983</v>
      </c>
      <c r="K17" s="7">
        <f t="shared" si="23"/>
        <v>0</v>
      </c>
      <c r="L17" s="7">
        <f t="shared" si="23"/>
        <v>0.29875016544708527</v>
      </c>
      <c r="M17" s="7">
        <f t="shared" si="23"/>
        <v>0.42796487684747553</v>
      </c>
      <c r="N17" s="7">
        <f t="shared" si="23"/>
        <v>0.51331074270113042</v>
      </c>
      <c r="O17" s="7">
        <f t="shared" si="23"/>
        <v>0.42775895225094196</v>
      </c>
      <c r="P17" s="7">
        <f t="shared" si="23"/>
        <v>0.49263106038835747</v>
      </c>
      <c r="Q17" s="7">
        <f t="shared" si="23"/>
        <v>0.71867703845480724</v>
      </c>
      <c r="R17" s="7">
        <f t="shared" si="23"/>
        <v>0.62590969863744272</v>
      </c>
      <c r="S17" s="7">
        <f t="shared" si="23"/>
        <v>0.86571758368603313</v>
      </c>
      <c r="T17" s="7">
        <f t="shared" si="23"/>
        <v>0.99947095036552469</v>
      </c>
      <c r="U17" s="7">
        <f t="shared" si="23"/>
        <v>1.2013829283452213</v>
      </c>
      <c r="V17" s="7">
        <f t="shared" si="23"/>
        <v>1.1512911770799423</v>
      </c>
      <c r="W17" s="7"/>
      <c r="Y17" s="7">
        <f>Y16/Y18</f>
        <v>-0.37577610806716594</v>
      </c>
      <c r="Z17" s="7">
        <f>Z16/Z18</f>
        <v>-1.2607844040248051</v>
      </c>
    </row>
    <row r="18" spans="2:33" s="3" customFormat="1" x14ac:dyDescent="0.2">
      <c r="B18" s="3" t="s">
        <v>1</v>
      </c>
      <c r="C18" s="4">
        <v>243.739</v>
      </c>
      <c r="D18" s="4">
        <v>260.01600000000002</v>
      </c>
      <c r="E18" s="4">
        <v>254.76</v>
      </c>
      <c r="F18" s="4">
        <v>250.04300000000001</v>
      </c>
      <c r="G18" s="4">
        <v>251.74299999999999</v>
      </c>
      <c r="H18" s="4">
        <v>255.75299999999999</v>
      </c>
      <c r="I18" s="4">
        <v>255.75299999999999</v>
      </c>
      <c r="J18" s="4">
        <v>257.322</v>
      </c>
      <c r="K18" s="4">
        <f>+J18</f>
        <v>257.322</v>
      </c>
      <c r="L18" s="4">
        <v>264.435</v>
      </c>
      <c r="M18" s="4">
        <v>266.37700000000001</v>
      </c>
      <c r="N18" s="4">
        <v>268.84300000000002</v>
      </c>
      <c r="O18" s="4">
        <f t="shared" ref="O18" si="24">+N18</f>
        <v>268.84300000000002</v>
      </c>
      <c r="P18" s="4">
        <v>267.94900000000001</v>
      </c>
      <c r="Q18" s="4">
        <v>268.54899999999998</v>
      </c>
      <c r="R18" s="4">
        <v>270.00700000000001</v>
      </c>
      <c r="S18" s="4">
        <v>270.29599999999999</v>
      </c>
      <c r="T18" s="4">
        <f>+S18</f>
        <v>270.29599999999999</v>
      </c>
      <c r="U18" s="4">
        <f>+T18</f>
        <v>270.29599999999999</v>
      </c>
      <c r="V18" s="4">
        <f>+U18</f>
        <v>270.29599999999999</v>
      </c>
      <c r="W18" s="4"/>
      <c r="Y18" s="4">
        <f>AVERAGE(C18:F18)</f>
        <v>252.1395</v>
      </c>
      <c r="Z18" s="4">
        <f>AVERAGE(G18:J18)</f>
        <v>255.14275000000001</v>
      </c>
      <c r="AA18" s="4"/>
      <c r="AB18" s="4"/>
      <c r="AC18" s="4"/>
      <c r="AD18" s="4"/>
      <c r="AE18" s="4"/>
      <c r="AF18" s="4"/>
      <c r="AG18" s="4"/>
    </row>
    <row r="19" spans="2:33" s="3" customFormat="1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Y19" s="4"/>
      <c r="Z19" s="4"/>
      <c r="AA19" s="4"/>
      <c r="AB19" s="4"/>
      <c r="AC19" s="4"/>
      <c r="AD19" s="4"/>
      <c r="AE19" s="4"/>
      <c r="AF19" s="4"/>
      <c r="AG19" s="4"/>
    </row>
    <row r="20" spans="2:33" s="3" customFormat="1" x14ac:dyDescent="0.2">
      <c r="B20" s="3" t="s">
        <v>52</v>
      </c>
      <c r="C20" s="4"/>
      <c r="D20" s="8"/>
      <c r="E20" s="8"/>
      <c r="F20" s="8" t="e">
        <f>+F5/#REF!-1</f>
        <v>#REF!</v>
      </c>
      <c r="G20" s="8">
        <f t="shared" ref="G20" si="25">+G5/C5-1</f>
        <v>0.22095039032946295</v>
      </c>
      <c r="H20" s="8">
        <f t="shared" ref="H20" si="26">+H5/D5-1</f>
        <v>0.21853818072758524</v>
      </c>
      <c r="I20" s="8">
        <f t="shared" ref="I20" si="27">+I5/E5-1</f>
        <v>0.20481245992693231</v>
      </c>
      <c r="J20" s="8">
        <f t="shared" ref="J20:K20" si="28">+J5/F5-1</f>
        <v>0.19628729904857134</v>
      </c>
      <c r="K20" s="8">
        <f t="shared" si="28"/>
        <v>0.17379973052792419</v>
      </c>
      <c r="L20" s="8">
        <f t="shared" ref="L20" si="29">+L5/H5-1</f>
        <v>0.16356447918280925</v>
      </c>
      <c r="M20" s="8">
        <f t="shared" ref="M20" si="30">+M5/I5-1</f>
        <v>0.16690419566469439</v>
      </c>
      <c r="N20" s="8">
        <f t="shared" ref="N20" si="31">+N5/J5-1</f>
        <v>0.16749480640968017</v>
      </c>
      <c r="O20" s="8">
        <f t="shared" ref="O20" si="32">+O5/K5-1</f>
        <v>0.18171021377672214</v>
      </c>
      <c r="P20" s="8">
        <f t="shared" ref="P20" si="33">+P5/L5-1</f>
        <v>0.16675993284834911</v>
      </c>
      <c r="Q20" s="8">
        <f t="shared" ref="Q20" si="34">+Q5/M5-1</f>
        <v>0.157556270096463</v>
      </c>
      <c r="R20" s="8">
        <f t="shared" ref="R20:S20" si="35">+R5/N5-1</f>
        <v>0.15036420395421435</v>
      </c>
      <c r="S20" s="8">
        <f t="shared" si="35"/>
        <v>0.12562814070351758</v>
      </c>
      <c r="T20" s="8">
        <f t="shared" ref="T20" si="36">+T5/P5-1</f>
        <v>0.10000000000000009</v>
      </c>
      <c r="U20" s="8">
        <f t="shared" ref="U20" si="37">+U5/Q5-1</f>
        <v>0.10000000000000009</v>
      </c>
      <c r="V20" s="8">
        <f t="shared" ref="V20" si="38">+V5/R5-1</f>
        <v>9.9999999999999867E-2</v>
      </c>
      <c r="W20" s="8"/>
      <c r="Y20" s="8"/>
      <c r="Z20" s="8">
        <f>Z5/Y5-1</f>
        <v>0.2095859771098223</v>
      </c>
      <c r="AA20" s="8">
        <f>AA5/Z5-1</f>
        <v>0.16782698592526346</v>
      </c>
      <c r="AB20" s="8">
        <f>AB5/AA5-1</f>
        <v>0.16352114616338342</v>
      </c>
      <c r="AC20" s="8">
        <f>AC5/AB5-1</f>
        <v>0.1060383613544873</v>
      </c>
      <c r="AD20" s="4"/>
      <c r="AE20" s="4"/>
      <c r="AF20" s="4"/>
      <c r="AG20" s="4"/>
    </row>
    <row r="21" spans="2:33" s="3" customFormat="1" x14ac:dyDescent="0.2">
      <c r="B21" s="3" t="s">
        <v>19</v>
      </c>
      <c r="C21" s="8">
        <f t="shared" ref="C21:R21" si="39">+C7/C5</f>
        <v>0.71655859877977901</v>
      </c>
      <c r="D21" s="8">
        <f t="shared" si="39"/>
        <v>0.72585552869376313</v>
      </c>
      <c r="E21" s="8">
        <f t="shared" si="39"/>
        <v>0.72897308219998602</v>
      </c>
      <c r="F21" s="8">
        <f t="shared" si="39"/>
        <v>0.71674632177952691</v>
      </c>
      <c r="G21" s="8">
        <f t="shared" si="39"/>
        <v>0.71922138880582598</v>
      </c>
      <c r="H21" s="8">
        <f t="shared" si="39"/>
        <v>0.72451780768043716</v>
      </c>
      <c r="I21" s="8">
        <f t="shared" si="39"/>
        <v>0.72747659156414557</v>
      </c>
      <c r="J21" s="8">
        <f t="shared" si="39"/>
        <v>0.72453986612078281</v>
      </c>
      <c r="K21" s="8">
        <f t="shared" si="39"/>
        <v>0.75237529691211402</v>
      </c>
      <c r="L21" s="8">
        <f t="shared" si="39"/>
        <v>0.7493005036373811</v>
      </c>
      <c r="M21" s="8">
        <f t="shared" si="39"/>
        <v>0.76152197213290462</v>
      </c>
      <c r="N21" s="8">
        <f t="shared" si="39"/>
        <v>0.76014568158168572</v>
      </c>
      <c r="O21" s="8">
        <f t="shared" si="39"/>
        <v>0.75427135678391954</v>
      </c>
      <c r="P21" s="8">
        <f t="shared" si="39"/>
        <v>0.75491606714628301</v>
      </c>
      <c r="Q21" s="8">
        <f t="shared" si="39"/>
        <v>0.75462962962962965</v>
      </c>
      <c r="R21" s="8">
        <f t="shared" si="39"/>
        <v>0.75576662143826323</v>
      </c>
      <c r="S21" s="8">
        <f>+S7/S5</f>
        <v>0.76026785714285716</v>
      </c>
      <c r="T21" s="8">
        <f t="shared" ref="T21:V21" si="40">+T7/T5</f>
        <v>0.76</v>
      </c>
      <c r="U21" s="8">
        <f t="shared" si="40"/>
        <v>0.76</v>
      </c>
      <c r="V21" s="8">
        <f t="shared" si="40"/>
        <v>0.76</v>
      </c>
      <c r="W21" s="8"/>
      <c r="Y21" s="8">
        <f t="shared" ref="Y21:Z21" si="41">+Y7/Y5</f>
        <v>0.72209551727855414</v>
      </c>
      <c r="Z21" s="8">
        <f t="shared" si="41"/>
        <v>0.72406238406594281</v>
      </c>
      <c r="AA21" s="4"/>
      <c r="AB21" s="4"/>
      <c r="AC21" s="4"/>
      <c r="AD21" s="4"/>
      <c r="AE21" s="4"/>
      <c r="AF21" s="4"/>
      <c r="AG21" s="4"/>
    </row>
    <row r="23" spans="2:33" x14ac:dyDescent="0.2">
      <c r="B23" s="3" t="s">
        <v>62</v>
      </c>
      <c r="G23" s="4">
        <f>G24-G39</f>
        <v>2134.1609999999991</v>
      </c>
      <c r="J23" s="4">
        <f>J24-J39</f>
        <v>3145.4599999999991</v>
      </c>
      <c r="K23" s="4"/>
      <c r="L23" s="4"/>
      <c r="M23" s="4"/>
      <c r="N23" s="4"/>
      <c r="O23" s="4"/>
      <c r="P23" s="4">
        <f>P24-P39</f>
        <v>4397.0659999999998</v>
      </c>
      <c r="Q23" s="4">
        <f>Q24-Q39</f>
        <v>4174</v>
      </c>
      <c r="R23" s="4">
        <f>R24-R39</f>
        <v>0</v>
      </c>
      <c r="S23" s="4">
        <f>S24-S39</f>
        <v>4985</v>
      </c>
    </row>
    <row r="24" spans="2:33" s="3" customFormat="1" x14ac:dyDescent="0.2">
      <c r="B24" s="3" t="s">
        <v>3</v>
      </c>
      <c r="C24" s="4"/>
      <c r="D24" s="4"/>
      <c r="E24" s="4"/>
      <c r="F24" s="4"/>
      <c r="G24" s="4">
        <f>2776.336+3479.019</f>
        <v>6255.3549999999996</v>
      </c>
      <c r="H24" s="4"/>
      <c r="I24" s="4"/>
      <c r="J24" s="4">
        <f>1886.311+4235.083</f>
        <v>6121.3939999999993</v>
      </c>
      <c r="K24" s="4"/>
      <c r="L24" s="4"/>
      <c r="M24" s="4"/>
      <c r="N24" s="4"/>
      <c r="O24" s="4"/>
      <c r="P24" s="4">
        <f>1635+5738</f>
        <v>7373</v>
      </c>
      <c r="Q24" s="3">
        <f>1311+5846</f>
        <v>7157</v>
      </c>
      <c r="S24" s="3">
        <f>6998+972</f>
        <v>7970</v>
      </c>
      <c r="Y24" s="4"/>
      <c r="Z24" s="4"/>
      <c r="AA24" s="4"/>
      <c r="AB24" s="4"/>
      <c r="AC24" s="4"/>
      <c r="AD24" s="4"/>
      <c r="AE24" s="4"/>
      <c r="AF24" s="4"/>
      <c r="AG24" s="4"/>
    </row>
    <row r="25" spans="2:33" s="3" customFormat="1" x14ac:dyDescent="0.2">
      <c r="B25" s="3" t="s">
        <v>35</v>
      </c>
      <c r="C25" s="4"/>
      <c r="D25" s="4"/>
      <c r="E25" s="4"/>
      <c r="F25" s="4"/>
      <c r="G25" s="4">
        <v>778.07600000000002</v>
      </c>
      <c r="H25" s="4"/>
      <c r="I25" s="4"/>
      <c r="J25" s="4">
        <v>1570.086</v>
      </c>
      <c r="K25" s="4"/>
      <c r="L25" s="4"/>
      <c r="M25" s="4"/>
      <c r="N25" s="4"/>
      <c r="O25" s="4"/>
      <c r="P25" s="4">
        <v>1292</v>
      </c>
      <c r="Q25" s="3">
        <v>1404</v>
      </c>
      <c r="S25" s="3">
        <v>1363</v>
      </c>
      <c r="Y25" s="4"/>
      <c r="Z25" s="4"/>
      <c r="AA25" s="4"/>
      <c r="AB25" s="4"/>
      <c r="AC25" s="4"/>
      <c r="AD25" s="4"/>
      <c r="AE25" s="4"/>
      <c r="AF25" s="4"/>
      <c r="AG25" s="4"/>
    </row>
    <row r="26" spans="2:33" s="3" customFormat="1" x14ac:dyDescent="0.2">
      <c r="B26" s="3" t="s">
        <v>36</v>
      </c>
      <c r="C26" s="4"/>
      <c r="D26" s="4"/>
      <c r="E26" s="4"/>
      <c r="F26" s="4"/>
      <c r="G26" s="4">
        <f>156.806+339.712</f>
        <v>496.51800000000003</v>
      </c>
      <c r="H26" s="4"/>
      <c r="I26" s="4"/>
      <c r="J26" s="4">
        <f>191.054+420.988</f>
        <v>612.04200000000003</v>
      </c>
      <c r="K26" s="4"/>
      <c r="L26" s="4"/>
      <c r="M26" s="4"/>
      <c r="N26" s="4"/>
      <c r="O26" s="4"/>
      <c r="P26" s="4">
        <f>237+1022</f>
        <v>1259</v>
      </c>
      <c r="Q26" s="3">
        <f>244+1031+490</f>
        <v>1765</v>
      </c>
      <c r="S26" s="3">
        <f>544+268</f>
        <v>812</v>
      </c>
      <c r="Y26" s="4"/>
      <c r="Z26" s="4"/>
      <c r="AA26" s="4"/>
      <c r="AB26" s="4"/>
      <c r="AC26" s="4"/>
      <c r="AD26" s="4"/>
      <c r="AE26" s="4"/>
      <c r="AF26" s="4"/>
      <c r="AG26" s="4"/>
    </row>
    <row r="27" spans="2:33" s="3" customFormat="1" x14ac:dyDescent="0.2">
      <c r="B27" s="3" t="s">
        <v>46</v>
      </c>
      <c r="C27" s="4"/>
      <c r="D27" s="4"/>
      <c r="E27" s="4"/>
      <c r="F27" s="4"/>
      <c r="G27" s="4">
        <v>252.989</v>
      </c>
      <c r="H27" s="4"/>
      <c r="I27" s="4"/>
      <c r="J27" s="4">
        <v>225.69</v>
      </c>
      <c r="K27" s="4"/>
      <c r="L27" s="4"/>
      <c r="M27" s="4"/>
      <c r="N27" s="4"/>
      <c r="O27" s="4"/>
      <c r="P27" s="4">
        <v>298</v>
      </c>
      <c r="Q27" s="3">
        <v>273</v>
      </c>
      <c r="S27" s="3">
        <v>362</v>
      </c>
      <c r="Y27" s="4"/>
      <c r="Z27" s="4"/>
      <c r="AA27" s="4"/>
      <c r="AB27" s="4"/>
      <c r="AC27" s="4"/>
      <c r="AD27" s="4"/>
      <c r="AE27" s="4"/>
      <c r="AF27" s="4"/>
      <c r="AG27" s="4"/>
    </row>
    <row r="28" spans="2:33" s="3" customFormat="1" x14ac:dyDescent="0.2">
      <c r="B28" s="3" t="s">
        <v>47</v>
      </c>
      <c r="C28" s="4"/>
      <c r="D28" s="4"/>
      <c r="E28" s="4"/>
      <c r="F28" s="4"/>
      <c r="G28" s="4">
        <v>1186.0039999999999</v>
      </c>
      <c r="H28" s="4"/>
      <c r="I28" s="4"/>
      <c r="J28" s="4">
        <v>1201.2539999999999</v>
      </c>
      <c r="K28" s="4"/>
      <c r="L28" s="4"/>
      <c r="M28" s="4"/>
      <c r="N28" s="4"/>
      <c r="O28" s="4"/>
      <c r="P28" s="4">
        <v>1259</v>
      </c>
      <c r="Q28" s="3">
        <v>1263</v>
      </c>
      <c r="S28" s="3">
        <v>1140</v>
      </c>
      <c r="Y28" s="4"/>
      <c r="Z28" s="4"/>
      <c r="AA28" s="4"/>
      <c r="AB28" s="4"/>
      <c r="AC28" s="4"/>
      <c r="AD28" s="4"/>
      <c r="AE28" s="4"/>
      <c r="AF28" s="4"/>
      <c r="AG28" s="4"/>
    </row>
    <row r="29" spans="2:33" s="3" customFormat="1" x14ac:dyDescent="0.2">
      <c r="B29" s="3" t="s">
        <v>42</v>
      </c>
      <c r="C29" s="4"/>
      <c r="D29" s="4"/>
      <c r="E29" s="4"/>
      <c r="F29" s="4"/>
      <c r="G29" s="4">
        <v>252.23599999999999</v>
      </c>
      <c r="H29" s="4"/>
      <c r="I29" s="4"/>
      <c r="J29" s="4">
        <f>249.278</f>
        <v>249.27799999999999</v>
      </c>
      <c r="K29" s="4"/>
      <c r="L29" s="4"/>
      <c r="M29" s="4"/>
      <c r="N29" s="4"/>
      <c r="O29" s="4"/>
      <c r="P29" s="4">
        <v>339</v>
      </c>
      <c r="Q29" s="3">
        <v>335</v>
      </c>
      <c r="S29" s="3">
        <v>355</v>
      </c>
      <c r="Y29" s="4"/>
      <c r="Z29" s="4"/>
      <c r="AA29" s="4"/>
      <c r="AB29" s="4"/>
      <c r="AC29" s="4"/>
      <c r="AD29" s="4"/>
      <c r="AE29" s="4"/>
      <c r="AF29" s="4"/>
      <c r="AG29" s="4"/>
    </row>
    <row r="30" spans="2:33" s="3" customFormat="1" x14ac:dyDescent="0.2">
      <c r="B30" s="3" t="s">
        <v>48</v>
      </c>
      <c r="C30" s="4"/>
      <c r="D30" s="4"/>
      <c r="E30" s="4"/>
      <c r="F30" s="4"/>
      <c r="G30" s="4">
        <f>369.387+2840.044</f>
        <v>3209.431</v>
      </c>
      <c r="H30" s="4"/>
      <c r="I30" s="4"/>
      <c r="J30" s="4">
        <f>2840.044+305.465</f>
        <v>3145.509</v>
      </c>
      <c r="K30" s="4"/>
      <c r="L30" s="4"/>
      <c r="M30" s="4"/>
      <c r="N30" s="4"/>
      <c r="O30" s="4"/>
      <c r="P30" s="4">
        <f>3257+331</f>
        <v>3588</v>
      </c>
      <c r="Q30" s="3">
        <f>3479+383</f>
        <v>3862</v>
      </c>
      <c r="S30" s="3">
        <f>340+3478</f>
        <v>3818</v>
      </c>
      <c r="Y30" s="4"/>
      <c r="Z30" s="4"/>
      <c r="AA30" s="4"/>
      <c r="AB30" s="4"/>
      <c r="AC30" s="4"/>
      <c r="AD30" s="4"/>
      <c r="AE30" s="4"/>
      <c r="AF30" s="4"/>
      <c r="AG30" s="4"/>
    </row>
    <row r="31" spans="2:33" s="3" customFormat="1" x14ac:dyDescent="0.2">
      <c r="B31" s="3" t="s">
        <v>44</v>
      </c>
      <c r="C31" s="4"/>
      <c r="D31" s="4"/>
      <c r="E31" s="4"/>
      <c r="F31" s="4"/>
      <c r="G31" s="4">
        <v>368.49700000000001</v>
      </c>
      <c r="H31" s="4"/>
      <c r="I31" s="4"/>
      <c r="J31" s="4">
        <v>360.98500000000001</v>
      </c>
      <c r="K31" s="4"/>
      <c r="L31" s="4"/>
      <c r="M31" s="4"/>
      <c r="N31" s="4"/>
      <c r="O31" s="4"/>
      <c r="P31" s="4">
        <v>339</v>
      </c>
      <c r="Q31" s="3">
        <v>365</v>
      </c>
      <c r="S31" s="3">
        <f>1013+379</f>
        <v>1392</v>
      </c>
      <c r="Y31" s="4"/>
      <c r="Z31" s="4"/>
      <c r="AA31" s="4"/>
      <c r="AB31" s="4"/>
      <c r="AC31" s="4"/>
      <c r="AD31" s="4"/>
      <c r="AE31" s="4"/>
      <c r="AF31" s="4"/>
      <c r="AG31" s="4"/>
    </row>
    <row r="32" spans="2:33" s="3" customFormat="1" x14ac:dyDescent="0.2">
      <c r="B32" s="3" t="s">
        <v>45</v>
      </c>
      <c r="C32" s="4"/>
      <c r="D32" s="4"/>
      <c r="E32" s="4"/>
      <c r="F32" s="4"/>
      <c r="G32" s="4">
        <f>SUM(G24:G31)</f>
        <v>12799.106</v>
      </c>
      <c r="H32" s="4"/>
      <c r="I32" s="4"/>
      <c r="J32" s="4">
        <f>SUM(J24:J31)</f>
        <v>13486.238000000001</v>
      </c>
      <c r="K32" s="4"/>
      <c r="L32" s="4"/>
      <c r="M32" s="4"/>
      <c r="N32" s="4"/>
      <c r="O32" s="4"/>
      <c r="P32" s="4">
        <f>SUM(P24:P31)</f>
        <v>15747</v>
      </c>
      <c r="Q32" s="4">
        <f>SUM(Q24:Q31)</f>
        <v>16424</v>
      </c>
      <c r="R32" s="4">
        <f>SUM(R24:R31)</f>
        <v>0</v>
      </c>
      <c r="S32" s="4">
        <f>SUM(S24:S31)</f>
        <v>17212</v>
      </c>
      <c r="Y32" s="4"/>
      <c r="Z32" s="4"/>
      <c r="AA32" s="4"/>
      <c r="AB32" s="4"/>
      <c r="AC32" s="4"/>
      <c r="AD32" s="4"/>
      <c r="AE32" s="4"/>
      <c r="AF32" s="4"/>
      <c r="AG32" s="4"/>
    </row>
    <row r="33" spans="2:33" x14ac:dyDescent="0.2">
      <c r="P33" s="2"/>
    </row>
    <row r="34" spans="2:33" s="3" customFormat="1" x14ac:dyDescent="0.2">
      <c r="B34" s="3" t="s">
        <v>38</v>
      </c>
      <c r="C34" s="4"/>
      <c r="D34" s="4"/>
      <c r="E34" s="4"/>
      <c r="F34" s="4"/>
      <c r="G34" s="4">
        <v>123.361</v>
      </c>
      <c r="H34" s="4"/>
      <c r="I34" s="4"/>
      <c r="J34" s="4">
        <v>153.751</v>
      </c>
      <c r="K34" s="4"/>
      <c r="L34" s="4"/>
      <c r="M34" s="4"/>
      <c r="N34" s="4"/>
      <c r="O34" s="4"/>
      <c r="P34" s="4">
        <v>153.751</v>
      </c>
      <c r="Q34" s="3">
        <v>74</v>
      </c>
      <c r="S34" s="3">
        <v>92</v>
      </c>
      <c r="Y34" s="4"/>
      <c r="Z34" s="4"/>
      <c r="AA34" s="4"/>
      <c r="AB34" s="4"/>
      <c r="AC34" s="4"/>
      <c r="AD34" s="4"/>
      <c r="AE34" s="4"/>
      <c r="AF34" s="4"/>
      <c r="AG34" s="4"/>
    </row>
    <row r="35" spans="2:33" s="3" customFormat="1" x14ac:dyDescent="0.2">
      <c r="B35" s="3" t="s">
        <v>34</v>
      </c>
      <c r="C35" s="4"/>
      <c r="D35" s="4"/>
      <c r="E35" s="4"/>
      <c r="F35" s="4"/>
      <c r="G35" s="4">
        <v>246.93899999999999</v>
      </c>
      <c r="H35" s="4"/>
      <c r="I35" s="4"/>
      <c r="J35" s="4">
        <v>260.13099999999997</v>
      </c>
      <c r="K35" s="4"/>
      <c r="L35" s="4"/>
      <c r="M35" s="4"/>
      <c r="N35" s="4"/>
      <c r="O35" s="4"/>
      <c r="P35" s="4">
        <v>260.13099999999997</v>
      </c>
      <c r="Q35" s="3">
        <v>323</v>
      </c>
      <c r="S35" s="3">
        <v>271</v>
      </c>
      <c r="Y35" s="4"/>
      <c r="Z35" s="4"/>
      <c r="AA35" s="4"/>
      <c r="AB35" s="4"/>
      <c r="AC35" s="4"/>
      <c r="AD35" s="4"/>
      <c r="AE35" s="4"/>
      <c r="AF35" s="4"/>
      <c r="AG35" s="4"/>
    </row>
    <row r="36" spans="2:33" s="3" customFormat="1" x14ac:dyDescent="0.2">
      <c r="B36" s="3" t="s">
        <v>49</v>
      </c>
      <c r="C36" s="4"/>
      <c r="D36" s="4"/>
      <c r="E36" s="4"/>
      <c r="F36" s="4"/>
      <c r="G36" s="4">
        <v>362.26900000000001</v>
      </c>
      <c r="H36" s="4"/>
      <c r="I36" s="4"/>
      <c r="J36" s="4">
        <v>563.548</v>
      </c>
      <c r="K36" s="4"/>
      <c r="L36" s="4"/>
      <c r="M36" s="4"/>
      <c r="N36" s="4"/>
      <c r="O36" s="4"/>
      <c r="P36" s="4">
        <v>563.548</v>
      </c>
      <c r="Q36" s="3">
        <v>476</v>
      </c>
      <c r="S36" s="3">
        <v>548</v>
      </c>
      <c r="Y36" s="4"/>
      <c r="Z36" s="4"/>
      <c r="AA36" s="4"/>
      <c r="AB36" s="4"/>
      <c r="AC36" s="4"/>
      <c r="AD36" s="4"/>
      <c r="AE36" s="4"/>
      <c r="AF36" s="4"/>
      <c r="AG36" s="4"/>
    </row>
    <row r="37" spans="2:33" s="3" customFormat="1" x14ac:dyDescent="0.2">
      <c r="B37" s="3" t="s">
        <v>33</v>
      </c>
      <c r="C37" s="4"/>
      <c r="D37" s="4"/>
      <c r="E37" s="4"/>
      <c r="F37" s="4">
        <f>3110.947+71.533</f>
        <v>3182.48</v>
      </c>
      <c r="G37" s="4">
        <f>2820.119+59.308</f>
        <v>2879.4270000000001</v>
      </c>
      <c r="H37" s="4"/>
      <c r="I37" s="4"/>
      <c r="J37" s="4">
        <f>3559.393+74.54</f>
        <v>3633.933</v>
      </c>
      <c r="K37" s="4"/>
      <c r="L37" s="4"/>
      <c r="M37" s="4"/>
      <c r="N37" s="4"/>
      <c r="O37" s="4"/>
      <c r="P37" s="4">
        <f>3559.393+74.54</f>
        <v>3633.933</v>
      </c>
      <c r="Q37" s="3">
        <f>3447+64</f>
        <v>3511</v>
      </c>
      <c r="S37" s="3">
        <f>3812+65</f>
        <v>3877</v>
      </c>
      <c r="Y37" s="4"/>
      <c r="Z37" s="4"/>
      <c r="AA37" s="4"/>
      <c r="AB37" s="4"/>
      <c r="AC37" s="4"/>
      <c r="AD37" s="4"/>
      <c r="AE37" s="4"/>
      <c r="AF37" s="4"/>
      <c r="AG37" s="4"/>
    </row>
    <row r="38" spans="2:33" s="3" customFormat="1" x14ac:dyDescent="0.2">
      <c r="B38" s="3" t="s">
        <v>42</v>
      </c>
      <c r="C38" s="4"/>
      <c r="D38" s="4"/>
      <c r="E38" s="4"/>
      <c r="F38" s="4"/>
      <c r="G38" s="4">
        <f>80.573+182.237</f>
        <v>262.81</v>
      </c>
      <c r="H38" s="4"/>
      <c r="I38" s="4"/>
      <c r="J38" s="4">
        <f>91.343+181.799</f>
        <v>273.142</v>
      </c>
      <c r="K38" s="4"/>
      <c r="L38" s="4"/>
      <c r="M38" s="4"/>
      <c r="N38" s="4"/>
      <c r="O38" s="4"/>
      <c r="P38" s="4">
        <f>91.343+181.799</f>
        <v>273.142</v>
      </c>
      <c r="Q38" s="3">
        <f>102+278</f>
        <v>380</v>
      </c>
      <c r="S38" s="3">
        <f>98+310</f>
        <v>408</v>
      </c>
      <c r="Y38" s="4"/>
      <c r="Z38" s="4"/>
      <c r="AA38" s="4"/>
      <c r="AB38" s="4"/>
      <c r="AC38" s="4"/>
      <c r="AD38" s="4"/>
      <c r="AE38" s="4"/>
      <c r="AF38" s="4"/>
      <c r="AG38" s="4"/>
    </row>
    <row r="39" spans="2:33" s="3" customFormat="1" x14ac:dyDescent="0.2">
      <c r="B39" s="3" t="s">
        <v>4</v>
      </c>
      <c r="C39" s="4"/>
      <c r="D39" s="4"/>
      <c r="E39" s="4"/>
      <c r="F39" s="4"/>
      <c r="G39" s="4">
        <f>1148.126+2973.068</f>
        <v>4121.1940000000004</v>
      </c>
      <c r="H39" s="4"/>
      <c r="I39" s="4"/>
      <c r="J39" s="4">
        <f>2975.934</f>
        <v>2975.9340000000002</v>
      </c>
      <c r="K39" s="4"/>
      <c r="L39" s="4"/>
      <c r="M39" s="4"/>
      <c r="N39" s="4"/>
      <c r="O39" s="4"/>
      <c r="P39" s="4">
        <f>2975.934</f>
        <v>2975.9340000000002</v>
      </c>
      <c r="Q39" s="3">
        <v>2983</v>
      </c>
      <c r="S39" s="3">
        <v>2985</v>
      </c>
      <c r="Y39" s="4"/>
      <c r="Z39" s="4"/>
      <c r="AA39" s="4"/>
      <c r="AB39" s="4"/>
      <c r="AC39" s="4"/>
      <c r="AD39" s="4"/>
      <c r="AE39" s="4"/>
      <c r="AF39" s="4"/>
      <c r="AG39" s="4"/>
    </row>
    <row r="40" spans="2:33" s="3" customFormat="1" x14ac:dyDescent="0.2">
      <c r="B40" s="3" t="s">
        <v>44</v>
      </c>
      <c r="C40" s="4"/>
      <c r="D40" s="4"/>
      <c r="E40" s="4"/>
      <c r="F40" s="4"/>
      <c r="G40" s="4">
        <v>22.298999999999999</v>
      </c>
      <c r="H40" s="4"/>
      <c r="I40" s="4"/>
      <c r="J40" s="4">
        <v>40.231000000000002</v>
      </c>
      <c r="K40" s="4"/>
      <c r="L40" s="4"/>
      <c r="M40" s="4"/>
      <c r="N40" s="4"/>
      <c r="O40" s="4"/>
      <c r="P40" s="4">
        <v>40.231000000000002</v>
      </c>
      <c r="Q40" s="3">
        <v>53</v>
      </c>
      <c r="S40" s="3">
        <v>112</v>
      </c>
      <c r="Y40" s="4"/>
      <c r="Z40" s="4"/>
      <c r="AA40" s="4"/>
      <c r="AB40" s="4"/>
      <c r="AC40" s="4"/>
      <c r="AD40" s="4"/>
      <c r="AE40" s="4"/>
      <c r="AF40" s="4"/>
      <c r="AG40" s="4"/>
    </row>
    <row r="41" spans="2:33" s="3" customFormat="1" x14ac:dyDescent="0.2">
      <c r="B41" s="3" t="s">
        <v>50</v>
      </c>
      <c r="C41" s="4"/>
      <c r="D41" s="4"/>
      <c r="E41" s="4"/>
      <c r="F41" s="4"/>
      <c r="G41" s="4">
        <v>4780.8069999999998</v>
      </c>
      <c r="H41" s="4"/>
      <c r="I41" s="4"/>
      <c r="J41" s="4">
        <v>5585.5680000000002</v>
      </c>
      <c r="K41" s="4"/>
      <c r="L41" s="4"/>
      <c r="M41" s="4"/>
      <c r="N41" s="4"/>
      <c r="O41" s="4"/>
      <c r="P41" s="4">
        <v>5585.5680000000002</v>
      </c>
      <c r="Q41" s="3">
        <v>8624</v>
      </c>
      <c r="S41" s="3">
        <v>8919</v>
      </c>
      <c r="Y41" s="4"/>
      <c r="Z41" s="4"/>
      <c r="AA41" s="4"/>
      <c r="AB41" s="4"/>
      <c r="AC41" s="4"/>
      <c r="AD41" s="4"/>
      <c r="AE41" s="4"/>
      <c r="AF41" s="4"/>
      <c r="AG41" s="4"/>
    </row>
    <row r="42" spans="2:33" s="3" customFormat="1" x14ac:dyDescent="0.2">
      <c r="B42" s="3" t="s">
        <v>51</v>
      </c>
      <c r="C42" s="4"/>
      <c r="D42" s="4"/>
      <c r="E42" s="4"/>
      <c r="F42" s="4"/>
      <c r="G42" s="4">
        <f>SUM(G34:G41)</f>
        <v>12799.106</v>
      </c>
      <c r="H42" s="4"/>
      <c r="I42" s="4"/>
      <c r="J42" s="4">
        <f>SUM(J34:J41)</f>
        <v>13486.238000000001</v>
      </c>
      <c r="K42" s="4"/>
      <c r="L42" s="4"/>
      <c r="M42" s="4"/>
      <c r="N42" s="4"/>
      <c r="O42" s="4"/>
      <c r="P42" s="4">
        <f>SUM(P34:P41)</f>
        <v>13486.238000000001</v>
      </c>
      <c r="Q42" s="4">
        <f>SUM(Q34:Q41)</f>
        <v>16424</v>
      </c>
      <c r="R42" s="4">
        <f>SUM(R34:R41)</f>
        <v>0</v>
      </c>
      <c r="S42" s="4">
        <f>SUM(S34:S41)</f>
        <v>17212</v>
      </c>
      <c r="Y42" s="4"/>
      <c r="Z42" s="4"/>
      <c r="AA42" s="4"/>
      <c r="AB42" s="4"/>
      <c r="AC42" s="4"/>
      <c r="AD42" s="4"/>
      <c r="AE42" s="4"/>
      <c r="AF42" s="4"/>
      <c r="AG42" s="4"/>
    </row>
    <row r="44" spans="2:33" s="3" customFormat="1" x14ac:dyDescent="0.2">
      <c r="B44" s="3" t="s">
        <v>30</v>
      </c>
      <c r="C44" s="4">
        <f>+C16</f>
        <v>-46.521999999999878</v>
      </c>
      <c r="D44" s="4"/>
      <c r="E44" s="4"/>
      <c r="F44" s="4"/>
      <c r="G44" s="4">
        <f>+G16</f>
        <v>-102.17300000000007</v>
      </c>
      <c r="H44" s="4">
        <f>+H16</f>
        <v>-66.867000000000203</v>
      </c>
      <c r="I44" s="4">
        <f>+I16</f>
        <v>-74.721000000000146</v>
      </c>
      <c r="J44" s="4">
        <f>+J16</f>
        <v>-77.919000000000082</v>
      </c>
      <c r="K44" s="4"/>
      <c r="L44" s="4"/>
      <c r="M44" s="4"/>
      <c r="N44" s="4"/>
      <c r="O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3" s="3" customFormat="1" x14ac:dyDescent="0.2">
      <c r="B45" s="3" t="s">
        <v>31</v>
      </c>
      <c r="C45" s="4">
        <v>-46.521999999999998</v>
      </c>
      <c r="D45" s="4"/>
      <c r="E45" s="4"/>
      <c r="F45" s="4"/>
      <c r="G45" s="4">
        <v>-102.173</v>
      </c>
      <c r="H45" s="4"/>
      <c r="I45" s="4"/>
      <c r="J45" s="4"/>
      <c r="K45" s="4"/>
      <c r="L45" s="4"/>
      <c r="M45" s="4"/>
      <c r="N45" s="4"/>
      <c r="O45" s="4"/>
      <c r="Y45" s="4"/>
      <c r="Z45" s="4"/>
      <c r="AA45" s="4"/>
      <c r="AB45" s="4"/>
      <c r="AC45" s="4"/>
      <c r="AD45" s="4"/>
      <c r="AE45" s="4"/>
      <c r="AF45" s="4"/>
      <c r="AG45" s="4"/>
    </row>
    <row r="46" spans="2:33" s="3" customFormat="1" x14ac:dyDescent="0.2">
      <c r="B46" s="3" t="s">
        <v>39</v>
      </c>
      <c r="C46" s="4">
        <v>82.462999999999994</v>
      </c>
      <c r="D46" s="4"/>
      <c r="E46" s="4"/>
      <c r="F46" s="4"/>
      <c r="G46" s="4">
        <v>89.846000000000004</v>
      </c>
      <c r="H46" s="4"/>
      <c r="I46" s="4"/>
      <c r="J46" s="4"/>
      <c r="K46" s="4"/>
      <c r="L46" s="4"/>
      <c r="M46" s="4"/>
      <c r="N46" s="4"/>
      <c r="O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3" s="3" customFormat="1" x14ac:dyDescent="0.2">
      <c r="B47" s="3" t="s">
        <v>40</v>
      </c>
      <c r="C47" s="4">
        <v>264.63499999999999</v>
      </c>
      <c r="D47" s="4"/>
      <c r="E47" s="4"/>
      <c r="F47" s="4"/>
      <c r="G47" s="4">
        <v>311.50599999999997</v>
      </c>
      <c r="H47" s="4"/>
      <c r="I47" s="4"/>
      <c r="J47" s="4"/>
      <c r="K47" s="4"/>
      <c r="L47" s="4"/>
      <c r="M47" s="4"/>
      <c r="N47" s="4"/>
      <c r="O47" s="4"/>
      <c r="Y47" s="4"/>
      <c r="Z47" s="4"/>
      <c r="AA47" s="4"/>
      <c r="AB47" s="4"/>
      <c r="AC47" s="4"/>
      <c r="AD47" s="4"/>
      <c r="AE47" s="4"/>
      <c r="AF47" s="4"/>
      <c r="AG47" s="4"/>
    </row>
    <row r="48" spans="2:33" s="3" customFormat="1" x14ac:dyDescent="0.2">
      <c r="B48" s="3" t="s">
        <v>41</v>
      </c>
      <c r="C48" s="4">
        <v>31.614000000000001</v>
      </c>
      <c r="D48" s="4"/>
      <c r="E48" s="4"/>
      <c r="F48" s="4"/>
      <c r="G48" s="4">
        <v>39.427</v>
      </c>
      <c r="H48" s="4"/>
      <c r="I48" s="4"/>
      <c r="J48" s="4"/>
      <c r="K48" s="4"/>
      <c r="L48" s="4"/>
      <c r="M48" s="4"/>
      <c r="N48" s="4"/>
      <c r="O48" s="4"/>
      <c r="Y48" s="4"/>
      <c r="Z48" s="4"/>
      <c r="AA48" s="4"/>
      <c r="AB48" s="4"/>
      <c r="AC48" s="4"/>
      <c r="AD48" s="4"/>
      <c r="AE48" s="4"/>
      <c r="AF48" s="4"/>
      <c r="AG48" s="4"/>
    </row>
    <row r="49" spans="2:33" s="3" customFormat="1" x14ac:dyDescent="0.2">
      <c r="B49" s="3" t="s">
        <v>42</v>
      </c>
      <c r="C49" s="4">
        <v>22.23</v>
      </c>
      <c r="D49" s="4"/>
      <c r="E49" s="4"/>
      <c r="F49" s="4"/>
      <c r="G49" s="4">
        <v>22.047999999999998</v>
      </c>
      <c r="H49" s="4"/>
      <c r="I49" s="4"/>
      <c r="J49" s="4"/>
      <c r="K49" s="4"/>
      <c r="L49" s="4"/>
      <c r="M49" s="4"/>
      <c r="N49" s="4"/>
      <c r="O49" s="4"/>
      <c r="Y49" s="4"/>
      <c r="Z49" s="4"/>
      <c r="AA49" s="4"/>
      <c r="AB49" s="4"/>
      <c r="AC49" s="4"/>
      <c r="AD49" s="4"/>
      <c r="AE49" s="4"/>
      <c r="AF49" s="4"/>
      <c r="AG49" s="4"/>
    </row>
    <row r="50" spans="2:33" s="3" customFormat="1" x14ac:dyDescent="0.2">
      <c r="B50" s="3" t="s">
        <v>43</v>
      </c>
      <c r="C50" s="4">
        <v>6.0179999999999998</v>
      </c>
      <c r="D50" s="4"/>
      <c r="E50" s="4"/>
      <c r="F50" s="4"/>
      <c r="G50" s="4">
        <v>8.08</v>
      </c>
      <c r="H50" s="4"/>
      <c r="I50" s="4"/>
      <c r="J50" s="4"/>
      <c r="K50" s="4"/>
      <c r="L50" s="4"/>
      <c r="M50" s="4"/>
      <c r="N50" s="4"/>
      <c r="O50" s="4"/>
      <c r="Y50" s="4"/>
      <c r="Z50" s="4"/>
      <c r="AA50" s="4"/>
      <c r="AB50" s="4"/>
      <c r="AC50" s="4"/>
      <c r="AD50" s="4"/>
      <c r="AE50" s="4"/>
      <c r="AF50" s="4"/>
      <c r="AG50" s="4"/>
    </row>
    <row r="51" spans="2:33" s="3" customFormat="1" x14ac:dyDescent="0.2">
      <c r="B51" s="3" t="s">
        <v>44</v>
      </c>
      <c r="C51" s="4">
        <v>-1.6240000000000001</v>
      </c>
      <c r="D51" s="4"/>
      <c r="E51" s="4"/>
      <c r="F51" s="4"/>
      <c r="G51" s="4">
        <v>0.70899999999999996</v>
      </c>
      <c r="H51" s="4"/>
      <c r="I51" s="4"/>
      <c r="J51" s="4"/>
      <c r="K51" s="4"/>
      <c r="L51" s="4"/>
      <c r="M51" s="4"/>
      <c r="N51" s="4"/>
      <c r="O51" s="4"/>
      <c r="Y51" s="4"/>
      <c r="Z51" s="4"/>
      <c r="AA51" s="4"/>
      <c r="AB51" s="4"/>
      <c r="AC51" s="4"/>
      <c r="AD51" s="4"/>
      <c r="AE51" s="4"/>
      <c r="AF51" s="4"/>
      <c r="AG51" s="4"/>
    </row>
    <row r="52" spans="2:33" s="3" customFormat="1" x14ac:dyDescent="0.2">
      <c r="B52" s="3" t="s">
        <v>35</v>
      </c>
      <c r="C52" s="4">
        <v>392.11900000000003</v>
      </c>
      <c r="D52" s="4"/>
      <c r="E52" s="4"/>
      <c r="F52" s="4"/>
      <c r="G52" s="4">
        <v>462.964</v>
      </c>
      <c r="H52" s="4"/>
      <c r="I52" s="4"/>
      <c r="J52" s="4"/>
      <c r="K52" s="4"/>
      <c r="L52" s="4"/>
      <c r="M52" s="4"/>
      <c r="N52" s="4"/>
      <c r="O52" s="4"/>
      <c r="Y52" s="4"/>
      <c r="Z52" s="4"/>
      <c r="AA52" s="4"/>
      <c r="AB52" s="4"/>
      <c r="AC52" s="4"/>
      <c r="AD52" s="4"/>
      <c r="AE52" s="4"/>
      <c r="AF52" s="4"/>
      <c r="AG52" s="4"/>
    </row>
    <row r="53" spans="2:33" s="3" customFormat="1" x14ac:dyDescent="0.2">
      <c r="B53" s="3" t="s">
        <v>36</v>
      </c>
      <c r="C53" s="4">
        <v>-26.27</v>
      </c>
      <c r="D53" s="4"/>
      <c r="E53" s="4"/>
      <c r="F53" s="4"/>
      <c r="G53" s="4">
        <v>-41.728999999999999</v>
      </c>
      <c r="H53" s="4"/>
      <c r="I53" s="4"/>
      <c r="J53" s="4"/>
      <c r="K53" s="4"/>
      <c r="L53" s="4"/>
      <c r="M53" s="4"/>
      <c r="N53" s="4"/>
      <c r="O53" s="4"/>
      <c r="Y53" s="4"/>
      <c r="Z53" s="4"/>
      <c r="AA53" s="4"/>
      <c r="AB53" s="4"/>
      <c r="AC53" s="4"/>
      <c r="AD53" s="4"/>
      <c r="AE53" s="4"/>
      <c r="AF53" s="4"/>
      <c r="AG53" s="4"/>
    </row>
    <row r="54" spans="2:33" s="3" customFormat="1" x14ac:dyDescent="0.2">
      <c r="B54" s="3" t="s">
        <v>37</v>
      </c>
      <c r="C54" s="4">
        <v>-35.566000000000003</v>
      </c>
      <c r="D54" s="4"/>
      <c r="E54" s="4"/>
      <c r="F54" s="4"/>
      <c r="G54" s="4">
        <v>-23.997</v>
      </c>
      <c r="H54" s="4"/>
      <c r="I54" s="4"/>
      <c r="J54" s="4"/>
      <c r="K54" s="4"/>
      <c r="L54" s="4"/>
      <c r="M54" s="4"/>
      <c r="N54" s="4"/>
      <c r="O54" s="4"/>
      <c r="Y54" s="4"/>
      <c r="Z54" s="4"/>
      <c r="AA54" s="4"/>
      <c r="AB54" s="4"/>
      <c r="AC54" s="4"/>
      <c r="AD54" s="4"/>
      <c r="AE54" s="4"/>
      <c r="AF54" s="4"/>
      <c r="AG54" s="4"/>
    </row>
    <row r="55" spans="2:33" s="3" customFormat="1" x14ac:dyDescent="0.2">
      <c r="B55" s="3" t="s">
        <v>38</v>
      </c>
      <c r="C55" s="4">
        <v>-0.17</v>
      </c>
      <c r="D55" s="4"/>
      <c r="E55" s="4"/>
      <c r="F55" s="4"/>
      <c r="G55" s="4">
        <v>6.91</v>
      </c>
      <c r="H55" s="4"/>
      <c r="I55" s="4"/>
      <c r="J55" s="4"/>
      <c r="K55" s="4"/>
      <c r="L55" s="4"/>
      <c r="M55" s="4"/>
      <c r="N55" s="4"/>
      <c r="O55" s="4"/>
      <c r="Y55" s="4"/>
      <c r="Z55" s="4"/>
      <c r="AA55" s="4"/>
      <c r="AB55" s="4"/>
      <c r="AC55" s="4"/>
      <c r="AD55" s="4"/>
      <c r="AE55" s="4"/>
      <c r="AF55" s="4"/>
      <c r="AG55" s="4"/>
    </row>
    <row r="56" spans="2:33" s="3" customFormat="1" x14ac:dyDescent="0.2">
      <c r="B56" s="3" t="s">
        <v>34</v>
      </c>
      <c r="C56" s="4">
        <v>-10.92</v>
      </c>
      <c r="D56" s="4"/>
      <c r="E56" s="4"/>
      <c r="F56" s="4"/>
      <c r="G56" s="4">
        <v>-30.873000000000001</v>
      </c>
      <c r="H56" s="4"/>
      <c r="I56" s="4"/>
      <c r="J56" s="4"/>
      <c r="K56" s="4"/>
      <c r="L56" s="4"/>
      <c r="M56" s="4"/>
      <c r="N56" s="4"/>
      <c r="O56" s="4"/>
      <c r="Y56" s="4"/>
      <c r="Z56" s="4"/>
      <c r="AA56" s="4"/>
      <c r="AB56" s="4"/>
      <c r="AC56" s="4"/>
      <c r="AD56" s="4"/>
      <c r="AE56" s="4"/>
      <c r="AF56" s="4"/>
      <c r="AG56" s="4"/>
    </row>
    <row r="57" spans="2:33" s="3" customFormat="1" x14ac:dyDescent="0.2">
      <c r="B57" s="3" t="s">
        <v>33</v>
      </c>
      <c r="C57" s="4">
        <v>-225.57900000000001</v>
      </c>
      <c r="D57" s="4"/>
      <c r="E57" s="4"/>
      <c r="F57" s="4"/>
      <c r="G57" s="4">
        <v>-303.00099999999998</v>
      </c>
      <c r="H57" s="4"/>
      <c r="I57" s="4"/>
      <c r="J57" s="4"/>
      <c r="K57" s="4"/>
      <c r="L57" s="4"/>
      <c r="M57" s="4"/>
      <c r="N57" s="4"/>
      <c r="O57" s="4"/>
      <c r="Y57" s="4"/>
      <c r="Z57" s="4"/>
      <c r="AA57" s="4"/>
      <c r="AB57" s="4"/>
      <c r="AC57" s="4"/>
      <c r="AD57" s="4"/>
      <c r="AE57" s="4"/>
      <c r="AF57" s="4"/>
      <c r="AG57" s="4"/>
    </row>
    <row r="58" spans="2:33" s="3" customFormat="1" x14ac:dyDescent="0.2">
      <c r="B58" s="3" t="s">
        <v>32</v>
      </c>
      <c r="C58" s="4">
        <f>SUM(C45:C57)</f>
        <v>452.42800000000005</v>
      </c>
      <c r="D58" s="4"/>
      <c r="E58" s="4"/>
      <c r="F58" s="4"/>
      <c r="G58" s="4">
        <f>SUM(G45:G57)</f>
        <v>439.71699999999987</v>
      </c>
      <c r="H58" s="4"/>
      <c r="I58" s="4"/>
      <c r="J58" s="4"/>
      <c r="K58" s="4"/>
      <c r="L58" s="4">
        <v>425</v>
      </c>
      <c r="M58" s="4">
        <v>451</v>
      </c>
      <c r="N58" s="4">
        <v>996</v>
      </c>
      <c r="O58" s="4">
        <v>372</v>
      </c>
      <c r="P58" s="3">
        <v>571</v>
      </c>
      <c r="Q58" s="3">
        <v>406</v>
      </c>
      <c r="R58" s="3">
        <v>1113</v>
      </c>
      <c r="S58" s="3">
        <v>457</v>
      </c>
      <c r="Y58" s="4"/>
      <c r="Z58" s="4"/>
      <c r="AA58" s="4">
        <v>2149</v>
      </c>
      <c r="AB58" s="4">
        <v>2461</v>
      </c>
      <c r="AC58" s="4"/>
      <c r="AD58" s="4"/>
      <c r="AE58" s="4"/>
      <c r="AF58" s="4"/>
      <c r="AG58" s="4"/>
    </row>
    <row r="59" spans="2:33" x14ac:dyDescent="0.2">
      <c r="O59" s="4">
        <f>SUM(L58:O58)</f>
        <v>2244</v>
      </c>
      <c r="P59" s="4">
        <f>SUM(M58:P58)</f>
        <v>2390</v>
      </c>
      <c r="Q59" s="4">
        <f>SUM(N58:Q58)</f>
        <v>2345</v>
      </c>
      <c r="R59" s="4">
        <f>SUM(O58:R58)</f>
        <v>2462</v>
      </c>
      <c r="S59" s="4">
        <f>SUM(P58:S58)</f>
        <v>2547</v>
      </c>
      <c r="AB59" s="8">
        <f>+AB58/AA58-1</f>
        <v>0.14518380642159134</v>
      </c>
    </row>
    <row r="61" spans="2:33" x14ac:dyDescent="0.2">
      <c r="B61" s="3" t="s">
        <v>63</v>
      </c>
      <c r="J61" s="8">
        <f>J37/F37-1</f>
        <v>0.14185572258113166</v>
      </c>
      <c r="K61" s="8"/>
      <c r="L61" s="8"/>
      <c r="M61" s="8"/>
      <c r="N61" s="8"/>
      <c r="O61" s="8"/>
    </row>
  </sheetData>
  <hyperlinks>
    <hyperlink ref="A1" location="Main!A1" display="Main" xr:uid="{7D25EF9D-855C-420C-BE79-B466AB829214}"/>
  </hyperlinks>
  <pageMargins left="0.7" right="0.7" top="0.75" bottom="0.75" header="0.3" footer="0.3"/>
  <ignoredErrors>
    <ignoredError sqref="Y3:Z4 Y6:Z6 Z5 AA3:AB5" formulaRange="1"/>
    <ignoredError sqref="Y5 Y7:Z18" formula="1" formulaRange="1"/>
    <ignoredError sqref="AA7:AB1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2022-08-20T04:55:15Z</dcterms:created>
  <dcterms:modified xsi:type="dcterms:W3CDTF">2025-10-16T15:16:23Z</dcterms:modified>
</cp:coreProperties>
</file>