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CB54676-1EF8-4E06-B247-0942ECAC46FC}" xr6:coauthVersionLast="47" xr6:coauthVersionMax="47" xr10:uidLastSave="{00000000-0000-0000-0000-000000000000}"/>
  <bookViews>
    <workbookView xWindow="2940" yWindow="2940" windowWidth="18075" windowHeight="16020" activeTab="1" xr2:uid="{636547A7-FCF8-4112-8CC6-D93D3B281B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2" l="1"/>
  <c r="S22" i="2" s="1"/>
  <c r="T22" i="2" s="1"/>
  <c r="R21" i="2"/>
  <c r="S21" i="2" s="1"/>
  <c r="S20" i="2"/>
  <c r="T20" i="2" s="1"/>
  <c r="R20" i="2"/>
  <c r="R23" i="2"/>
  <c r="R24" i="2" s="1"/>
  <c r="Q24" i="2"/>
  <c r="Q23" i="2"/>
  <c r="J22" i="2"/>
  <c r="Q22" i="2" s="1"/>
  <c r="Q21" i="2"/>
  <c r="Q20" i="2"/>
  <c r="J21" i="2"/>
  <c r="J20" i="2"/>
  <c r="Q18" i="2"/>
  <c r="R18" i="2"/>
  <c r="T18" i="2"/>
  <c r="S18" i="2"/>
  <c r="T19" i="2"/>
  <c r="S19" i="2"/>
  <c r="R19" i="2"/>
  <c r="Q19" i="2"/>
  <c r="T33" i="2"/>
  <c r="S33" i="2"/>
  <c r="R33" i="2"/>
  <c r="T17" i="2"/>
  <c r="S17" i="2"/>
  <c r="R17" i="2"/>
  <c r="Q17" i="2"/>
  <c r="I13" i="2"/>
  <c r="C25" i="2"/>
  <c r="C23" i="2"/>
  <c r="C17" i="2"/>
  <c r="C19" i="2" s="1"/>
  <c r="C34" i="2" s="1"/>
  <c r="G23" i="2"/>
  <c r="G17" i="2"/>
  <c r="G19" i="2" s="1"/>
  <c r="G34" i="2" s="1"/>
  <c r="D23" i="2"/>
  <c r="D17" i="2"/>
  <c r="D19" i="2" s="1"/>
  <c r="D34" i="2" s="1"/>
  <c r="H23" i="2"/>
  <c r="H17" i="2"/>
  <c r="H19" i="2" s="1"/>
  <c r="H34" i="2" s="1"/>
  <c r="E25" i="2"/>
  <c r="I25" i="2"/>
  <c r="E23" i="2"/>
  <c r="E17" i="2"/>
  <c r="E19" i="2" s="1"/>
  <c r="E34" i="2" s="1"/>
  <c r="I23" i="2"/>
  <c r="I17" i="2"/>
  <c r="I19" i="2" s="1"/>
  <c r="I34" i="2" s="1"/>
  <c r="J7" i="1"/>
  <c r="J5" i="1"/>
  <c r="J4" i="1"/>
  <c r="T21" i="2" l="1"/>
  <c r="T23" i="2" s="1"/>
  <c r="T24" i="2" s="1"/>
  <c r="S23" i="2"/>
  <c r="S24" i="2" s="1"/>
  <c r="J17" i="2"/>
  <c r="G33" i="2"/>
  <c r="H33" i="2"/>
  <c r="I33" i="2"/>
  <c r="C24" i="2"/>
  <c r="C26" i="2" s="1"/>
  <c r="C28" i="2" s="1"/>
  <c r="C29" i="2" s="1"/>
  <c r="G24" i="2"/>
  <c r="G26" i="2" s="1"/>
  <c r="G28" i="2" s="1"/>
  <c r="G29" i="2" s="1"/>
  <c r="D24" i="2"/>
  <c r="D26" i="2" s="1"/>
  <c r="D28" i="2" s="1"/>
  <c r="D29" i="2" s="1"/>
  <c r="H24" i="2"/>
  <c r="H26" i="2" s="1"/>
  <c r="H28" i="2" s="1"/>
  <c r="H29" i="2" s="1"/>
  <c r="I24" i="2"/>
  <c r="I26" i="2" s="1"/>
  <c r="I28" i="2" s="1"/>
  <c r="I29" i="2" s="1"/>
  <c r="E24" i="2"/>
  <c r="E26" i="2" s="1"/>
  <c r="E28" i="2" s="1"/>
  <c r="E29" i="2" s="1"/>
</calcChain>
</file>

<file path=xl/sharedStrings.xml><?xml version="1.0" encoding="utf-8"?>
<sst xmlns="http://schemas.openxmlformats.org/spreadsheetml/2006/main" count="49" uniqueCount="46">
  <si>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</si>
  <si>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</si>
  <si>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</si>
  <si>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</si>
  <si>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</si>
  <si>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</si>
  <si>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</si>
  <si>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</si>
  <si>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</si>
  <si>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</si>
  <si>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</si>
  <si>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</si>
  <si>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</si>
  <si>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</si>
  <si>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</si>
  <si>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</si>
  <si>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COGS</t>
  </si>
  <si>
    <t>Other</t>
  </si>
  <si>
    <t>Diagnostic</t>
  </si>
  <si>
    <t>Operating Income</t>
  </si>
  <si>
    <t>Operating Expenses</t>
  </si>
  <si>
    <t>G&amp;A</t>
  </si>
  <si>
    <t>S&amp;M</t>
  </si>
  <si>
    <t>R&amp;D</t>
  </si>
  <si>
    <t>Gross Profit</t>
  </si>
  <si>
    <t>S/O</t>
  </si>
  <si>
    <t>Net Income</t>
  </si>
  <si>
    <t>Interest Income</t>
  </si>
  <si>
    <t>Pretax Income</t>
  </si>
  <si>
    <t>Taxes</t>
  </si>
  <si>
    <t>EPS</t>
  </si>
  <si>
    <t>Q125</t>
  </si>
  <si>
    <t>Q225</t>
  </si>
  <si>
    <t>Q325</t>
  </si>
  <si>
    <t>Q425</t>
  </si>
  <si>
    <t>Revenue y/y</t>
  </si>
  <si>
    <t>Exome tests</t>
  </si>
  <si>
    <t xml:space="preserve">  ARPT</t>
  </si>
  <si>
    <t>WES</t>
  </si>
  <si>
    <t>Cancer</t>
  </si>
  <si>
    <t>WGS Revenue</t>
  </si>
  <si>
    <t>WGS Tests</t>
  </si>
  <si>
    <t>Cancer Revenue</t>
  </si>
  <si>
    <t>WES Revenue</t>
  </si>
  <si>
    <t>Other Revenue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</si>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</sst>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E59F9BD-E44E-46D6-B914-B5BE70D955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</xdr:colOff>
      <xdr:row>0</xdr:row>
      <xdr:rowOff>21771</xdr:rowOff>
    </xdr:from>
    <xdr:to>
      <xdr:col>9</xdr:col>
      <xdr:colOff>27214</xdr:colOff>
      <xdr:row>44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D41A51-D063-C3CB-56DC-25709F89A41A}"/>
            </a:ext>
          </a:extLst>
        </xdr:cNvPr>
        <xdr:cNvCxnSpPr/>
      </xdr:nvCxnSpPr>
      <xdr:spPr>
        <a:xfrm>
          <a:off x="5834743" y="21771"/>
          <a:ext cx="0" cy="52305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2761-5ABB-45B3-A868-1E1904426044}">
  <dimension ref="I2:K7"/>
  <sheetViews>
    <sheetView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0</v>
      </c>
      <c r="J2" s="1">
        <v>78</v>
      </c>
    </row>
    <row r="3" spans="9:11" x14ac:dyDescent="0.2">
      <c r="I3" t="s">
        <v>1</v>
      </c>
      <c r="J3" s="2">
        <v>27.471397</v>
      </c>
      <c r="K3" s="3" t="s">
        <v>6</v>
      </c>
    </row>
    <row r="4" spans="9:11" x14ac:dyDescent="0.2">
      <c r="I4" t="s">
        <v>2</v>
      </c>
      <c r="J4" s="2">
        <f>+J2*J3</f>
        <v>2142.7689660000001</v>
      </c>
      <c r="K4" s="3"/>
    </row>
    <row r="5" spans="9:11" x14ac:dyDescent="0.2">
      <c r="I5" t="s">
        <v>3</v>
      </c>
      <c r="J5" s="2">
        <f>57.894+58.566</f>
        <v>116.46000000000001</v>
      </c>
      <c r="K5" s="3" t="s">
        <v>6</v>
      </c>
    </row>
    <row r="6" spans="9:11" x14ac:dyDescent="0.2">
      <c r="I6" t="s">
        <v>4</v>
      </c>
      <c r="J6" s="2">
        <v>60.369</v>
      </c>
      <c r="K6" s="3" t="s">
        <v>6</v>
      </c>
    </row>
    <row r="7" spans="9:11" x14ac:dyDescent="0.2">
      <c r="I7" t="s">
        <v>5</v>
      </c>
      <c r="J7" s="2">
        <f>+J4-J5+J6</f>
        <v>2086.6779660000002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47FE-D27E-4F79-98D8-AC865876A947}">
  <dimension ref="A1:T34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T33" sqref="T33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</cols>
  <sheetData>
    <row r="1" spans="1:17" x14ac:dyDescent="0.2">
      <c r="A1" s="4" t="s">
        <v>7</v>
      </c>
    </row>
    <row r="2" spans="1:1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K2" s="3" t="s">
        <v>31</v>
      </c>
      <c r="L2" s="3" t="s">
        <v>32</v>
      </c>
      <c r="M2" s="3" t="s">
        <v>33</v>
      </c>
      <c r="N2" s="3" t="s">
        <v>34</v>
      </c>
      <c r="Q2">
        <v>2024</v>
      </c>
    </row>
    <row r="3" spans="1:17" s="2" customFormat="1" x14ac:dyDescent="0.2">
      <c r="B3" s="2" t="s">
        <v>39</v>
      </c>
      <c r="C3" s="9">
        <v>7120</v>
      </c>
      <c r="D3" s="9">
        <v>7142</v>
      </c>
      <c r="E3" s="9">
        <v>8556</v>
      </c>
      <c r="F3" s="9">
        <v>8240</v>
      </c>
      <c r="G3" s="9"/>
      <c r="H3" s="9"/>
      <c r="I3" s="9"/>
      <c r="J3" s="9"/>
      <c r="K3" s="9"/>
      <c r="L3" s="9"/>
      <c r="M3" s="9"/>
      <c r="N3" s="9"/>
    </row>
    <row r="4" spans="1:17" s="2" customFormat="1" x14ac:dyDescent="0.2">
      <c r="B4" s="2" t="s">
        <v>38</v>
      </c>
      <c r="C4" s="9">
        <v>3136</v>
      </c>
      <c r="D4" s="9">
        <v>3472</v>
      </c>
      <c r="E4" s="9">
        <v>2922</v>
      </c>
      <c r="F4" s="9">
        <v>2606</v>
      </c>
      <c r="G4" s="9"/>
      <c r="H4" s="9"/>
      <c r="I4" s="9"/>
      <c r="J4" s="9"/>
      <c r="K4" s="9"/>
      <c r="L4" s="9"/>
      <c r="M4" s="9"/>
      <c r="N4" s="9"/>
    </row>
    <row r="5" spans="1:17" x14ac:dyDescent="0.2">
      <c r="B5" t="s">
        <v>41</v>
      </c>
      <c r="C5" s="9">
        <v>8705</v>
      </c>
      <c r="D5" s="9">
        <v>11855</v>
      </c>
      <c r="E5" s="9">
        <v>13216</v>
      </c>
      <c r="F5" s="9">
        <v>15663</v>
      </c>
      <c r="I5" s="6"/>
      <c r="K5" s="3"/>
      <c r="L5" s="3"/>
      <c r="M5" s="3"/>
      <c r="N5" s="3"/>
    </row>
    <row r="6" spans="1:17" x14ac:dyDescent="0.2">
      <c r="B6" t="s">
        <v>36</v>
      </c>
      <c r="I6" s="9">
        <v>19262</v>
      </c>
      <c r="K6" s="3"/>
      <c r="L6" s="3"/>
      <c r="M6" s="3"/>
      <c r="N6" s="3"/>
    </row>
    <row r="7" spans="1:17" x14ac:dyDescent="0.2">
      <c r="I7" s="9"/>
      <c r="K7" s="3"/>
      <c r="L7" s="3"/>
      <c r="M7" s="3"/>
      <c r="N7" s="3"/>
    </row>
    <row r="8" spans="1:17" s="2" customFormat="1" x14ac:dyDescent="0.2">
      <c r="B8" s="2" t="s">
        <v>40</v>
      </c>
      <c r="C8" s="9">
        <v>22.4</v>
      </c>
      <c r="D8" s="9">
        <v>28.7</v>
      </c>
      <c r="E8" s="9">
        <v>34</v>
      </c>
      <c r="F8" s="9">
        <v>39.200000000000003</v>
      </c>
      <c r="G8" s="9"/>
      <c r="H8" s="9"/>
      <c r="I8" s="9"/>
      <c r="J8" s="9"/>
      <c r="K8" s="9"/>
      <c r="L8" s="9"/>
      <c r="M8" s="9"/>
      <c r="N8" s="9"/>
    </row>
    <row r="9" spans="1:17" x14ac:dyDescent="0.2">
      <c r="B9" t="s">
        <v>43</v>
      </c>
      <c r="C9" s="9">
        <v>2.1</v>
      </c>
      <c r="D9" s="9">
        <v>2</v>
      </c>
      <c r="E9" s="9">
        <v>1.7</v>
      </c>
      <c r="F9" s="9">
        <v>1.7</v>
      </c>
      <c r="I9" s="6">
        <v>60</v>
      </c>
      <c r="K9" s="3"/>
      <c r="L9" s="3"/>
      <c r="M9" s="3"/>
      <c r="N9" s="3"/>
    </row>
    <row r="10" spans="1:17" x14ac:dyDescent="0.2">
      <c r="B10" s="2" t="s">
        <v>42</v>
      </c>
      <c r="C10" s="9">
        <v>4.3</v>
      </c>
      <c r="D10" s="9">
        <v>3.8</v>
      </c>
      <c r="E10" s="9">
        <v>4.5</v>
      </c>
      <c r="F10" s="9">
        <v>5.5</v>
      </c>
      <c r="I10" s="6"/>
      <c r="K10" s="3"/>
      <c r="L10" s="3"/>
      <c r="M10" s="3"/>
      <c r="N10" s="3"/>
    </row>
    <row r="11" spans="1:17" x14ac:dyDescent="0.2">
      <c r="B11" t="s">
        <v>44</v>
      </c>
      <c r="C11" s="9">
        <v>10.6</v>
      </c>
      <c r="D11" s="9">
        <v>8.6</v>
      </c>
      <c r="E11" s="9">
        <v>8.9</v>
      </c>
      <c r="F11" s="9">
        <v>9.5</v>
      </c>
      <c r="I11" s="6"/>
      <c r="K11" s="3"/>
      <c r="L11" s="3"/>
      <c r="M11" s="3"/>
      <c r="N11" s="3"/>
    </row>
    <row r="12" spans="1:17" x14ac:dyDescent="0.2">
      <c r="C12" s="9"/>
      <c r="D12" s="9"/>
      <c r="E12" s="9"/>
      <c r="F12" s="9"/>
      <c r="I12" s="6"/>
      <c r="K12" s="3"/>
      <c r="L12" s="3"/>
      <c r="M12" s="3"/>
      <c r="N12" s="3"/>
    </row>
    <row r="13" spans="1:17" x14ac:dyDescent="0.2">
      <c r="B13" t="s">
        <v>37</v>
      </c>
      <c r="I13" s="9">
        <f>+I9*1000000/I6</f>
        <v>3114.9413352715192</v>
      </c>
      <c r="K13" s="3"/>
      <c r="L13" s="3"/>
      <c r="M13" s="3"/>
      <c r="N13" s="3"/>
    </row>
    <row r="14" spans="1:17" x14ac:dyDescent="0.2">
      <c r="K14" s="3"/>
      <c r="L14" s="3"/>
      <c r="M14" s="3"/>
      <c r="N14" s="3"/>
    </row>
    <row r="15" spans="1:17" s="5" customFormat="1" x14ac:dyDescent="0.2">
      <c r="B15" s="5" t="s">
        <v>18</v>
      </c>
      <c r="C15" s="6">
        <v>41.85</v>
      </c>
      <c r="D15" s="6">
        <v>46.634999999999998</v>
      </c>
      <c r="E15" s="6">
        <v>51.954999999999998</v>
      </c>
      <c r="F15" s="6"/>
      <c r="G15" s="6">
        <v>61.103999999999999</v>
      </c>
      <c r="H15" s="6">
        <v>69.438999999999993</v>
      </c>
      <c r="I15" s="6">
        <v>77.418000000000006</v>
      </c>
      <c r="J15" s="6"/>
    </row>
    <row r="16" spans="1:17" s="5" customFormat="1" x14ac:dyDescent="0.2">
      <c r="B16" s="5" t="s">
        <v>17</v>
      </c>
      <c r="C16" s="6">
        <v>1.2889999999999999</v>
      </c>
      <c r="D16" s="6">
        <v>2.0710000000000002</v>
      </c>
      <c r="E16" s="6">
        <v>1.3480000000000001</v>
      </c>
      <c r="F16" s="6"/>
      <c r="G16" s="6">
        <v>1.3180000000000001</v>
      </c>
      <c r="H16" s="6">
        <v>1.075</v>
      </c>
      <c r="I16" s="6">
        <v>-0.54400000000000004</v>
      </c>
      <c r="J16" s="6"/>
    </row>
    <row r="17" spans="2:20" s="7" customFormat="1" x14ac:dyDescent="0.2">
      <c r="B17" s="7" t="s">
        <v>8</v>
      </c>
      <c r="C17" s="8">
        <f>+C15+C16</f>
        <v>43.139000000000003</v>
      </c>
      <c r="D17" s="8">
        <f>+D15+D16</f>
        <v>48.705999999999996</v>
      </c>
      <c r="E17" s="8">
        <f>+E15+E16</f>
        <v>53.302999999999997</v>
      </c>
      <c r="F17" s="8"/>
      <c r="G17" s="8">
        <f>+G15+G16</f>
        <v>62.421999999999997</v>
      </c>
      <c r="H17" s="8">
        <f>+H15+H16</f>
        <v>70.513999999999996</v>
      </c>
      <c r="I17" s="8">
        <f>+I15+I16</f>
        <v>76.874000000000009</v>
      </c>
      <c r="J17" s="8">
        <f>286-I17-H17-G17</f>
        <v>76.189999999999969</v>
      </c>
      <c r="Q17" s="7">
        <f>SUM(G17:J17)</f>
        <v>286</v>
      </c>
      <c r="R17" s="7">
        <f>+Q17*1.4</f>
        <v>400.4</v>
      </c>
      <c r="S17" s="7">
        <f>+R17*1.4</f>
        <v>560.55999999999995</v>
      </c>
      <c r="T17" s="7">
        <f>+S17*1.4</f>
        <v>784.78399999999988</v>
      </c>
    </row>
    <row r="18" spans="2:20" s="5" customFormat="1" x14ac:dyDescent="0.2">
      <c r="B18" s="5" t="s">
        <v>16</v>
      </c>
      <c r="C18" s="6">
        <v>27.902999999999999</v>
      </c>
      <c r="D18" s="6">
        <v>29.949000000000002</v>
      </c>
      <c r="E18" s="6">
        <v>28.044</v>
      </c>
      <c r="F18" s="6"/>
      <c r="G18" s="6">
        <v>25.010999999999999</v>
      </c>
      <c r="H18" s="6">
        <v>27.562000000000001</v>
      </c>
      <c r="I18" s="6">
        <v>29.045000000000002</v>
      </c>
      <c r="J18" s="6"/>
      <c r="Q18" s="5">
        <f>+Q17-Q19</f>
        <v>108.68</v>
      </c>
      <c r="R18" s="5">
        <f>+R17-R19</f>
        <v>152.15199999999999</v>
      </c>
      <c r="S18" s="5">
        <f>+S17-S19</f>
        <v>213.01279999999997</v>
      </c>
      <c r="T18" s="5">
        <f>+T17-T19</f>
        <v>298.21791999999994</v>
      </c>
    </row>
    <row r="19" spans="2:20" s="5" customFormat="1" x14ac:dyDescent="0.2">
      <c r="B19" s="5" t="s">
        <v>24</v>
      </c>
      <c r="C19" s="6">
        <f>+C17-C18</f>
        <v>15.236000000000004</v>
      </c>
      <c r="D19" s="6">
        <f>+D17-D18</f>
        <v>18.756999999999994</v>
      </c>
      <c r="E19" s="6">
        <f>+E17-E18</f>
        <v>25.258999999999997</v>
      </c>
      <c r="F19" s="6"/>
      <c r="G19" s="6">
        <f>+G17-G18</f>
        <v>37.411000000000001</v>
      </c>
      <c r="H19" s="6">
        <f>+H17-H18</f>
        <v>42.951999999999998</v>
      </c>
      <c r="I19" s="6">
        <f>+I17-I18</f>
        <v>47.829000000000008</v>
      </c>
      <c r="J19" s="6"/>
      <c r="Q19" s="5">
        <f>+Q17*0.62</f>
        <v>177.32</v>
      </c>
      <c r="R19" s="5">
        <f>+R17*0.62</f>
        <v>248.24799999999999</v>
      </c>
      <c r="S19" s="5">
        <f>+S17*0.62</f>
        <v>347.54719999999998</v>
      </c>
      <c r="T19" s="5">
        <f>+T17*0.62</f>
        <v>486.56607999999994</v>
      </c>
    </row>
    <row r="20" spans="2:20" s="5" customFormat="1" x14ac:dyDescent="0.2">
      <c r="B20" s="5" t="s">
        <v>23</v>
      </c>
      <c r="C20" s="6">
        <v>14.592000000000001</v>
      </c>
      <c r="D20" s="6">
        <v>17.138000000000002</v>
      </c>
      <c r="E20" s="6">
        <v>14.288</v>
      </c>
      <c r="F20" s="6"/>
      <c r="G20" s="6">
        <v>11.567</v>
      </c>
      <c r="H20" s="6">
        <v>10.901999999999999</v>
      </c>
      <c r="I20" s="6">
        <v>11.664999999999999</v>
      </c>
      <c r="J20" s="6">
        <f>+I20</f>
        <v>11.664999999999999</v>
      </c>
      <c r="Q20" s="5">
        <f>SUM(G20:J20)</f>
        <v>45.798999999999999</v>
      </c>
      <c r="R20" s="5">
        <f>+Q20*1.1</f>
        <v>50.378900000000002</v>
      </c>
      <c r="S20" s="5">
        <f t="shared" ref="S20:T20" si="0">+R20*1.1</f>
        <v>55.416790000000006</v>
      </c>
      <c r="T20" s="5">
        <f t="shared" si="0"/>
        <v>60.958469000000008</v>
      </c>
    </row>
    <row r="21" spans="2:20" s="5" customFormat="1" x14ac:dyDescent="0.2">
      <c r="B21" s="5" t="s">
        <v>22</v>
      </c>
      <c r="C21" s="6">
        <v>13.452</v>
      </c>
      <c r="D21" s="6">
        <v>15.182</v>
      </c>
      <c r="E21" s="6">
        <v>16.763000000000002</v>
      </c>
      <c r="F21" s="6"/>
      <c r="G21" s="6">
        <v>16.085000000000001</v>
      </c>
      <c r="H21" s="6">
        <v>16.585000000000001</v>
      </c>
      <c r="I21" s="6">
        <v>17.024999999999999</v>
      </c>
      <c r="J21" s="6">
        <f>+I21</f>
        <v>17.024999999999999</v>
      </c>
      <c r="Q21" s="5">
        <f>SUM(G21:J21)</f>
        <v>66.72</v>
      </c>
      <c r="R21" s="5">
        <f t="shared" ref="R21:T21" si="1">+Q21*1.1</f>
        <v>73.39200000000001</v>
      </c>
      <c r="S21" s="5">
        <f t="shared" si="1"/>
        <v>80.731200000000015</v>
      </c>
      <c r="T21" s="5">
        <f t="shared" si="1"/>
        <v>88.804320000000018</v>
      </c>
    </row>
    <row r="22" spans="2:20" s="5" customFormat="1" x14ac:dyDescent="0.2">
      <c r="B22" s="5" t="s">
        <v>21</v>
      </c>
      <c r="C22" s="6">
        <v>43.689</v>
      </c>
      <c r="D22" s="6">
        <v>37.341000000000001</v>
      </c>
      <c r="E22" s="6">
        <v>26.099</v>
      </c>
      <c r="F22" s="6"/>
      <c r="G22" s="6">
        <v>22.445</v>
      </c>
      <c r="H22" s="6">
        <v>25.17</v>
      </c>
      <c r="I22" s="6">
        <v>26.145</v>
      </c>
      <c r="J22" s="6">
        <f>+I22</f>
        <v>26.145</v>
      </c>
      <c r="Q22" s="5">
        <f>SUM(G22:J22)</f>
        <v>99.905000000000001</v>
      </c>
      <c r="R22" s="5">
        <f t="shared" ref="R22:T22" si="2">+Q22*1.1</f>
        <v>109.89550000000001</v>
      </c>
      <c r="S22" s="5">
        <f t="shared" si="2"/>
        <v>120.88505000000002</v>
      </c>
      <c r="T22" s="5">
        <f t="shared" si="2"/>
        <v>132.97355500000003</v>
      </c>
    </row>
    <row r="23" spans="2:20" s="5" customFormat="1" x14ac:dyDescent="0.2">
      <c r="B23" s="5" t="s">
        <v>20</v>
      </c>
      <c r="C23" s="6">
        <f>SUM(C20:C22)</f>
        <v>71.733000000000004</v>
      </c>
      <c r="D23" s="6">
        <f>SUM(D20:D22)</f>
        <v>69.661000000000001</v>
      </c>
      <c r="E23" s="6">
        <f>SUM(E20:E22)</f>
        <v>57.150000000000006</v>
      </c>
      <c r="F23" s="6"/>
      <c r="G23" s="6">
        <f>SUM(G20:G22)</f>
        <v>50.097000000000001</v>
      </c>
      <c r="H23" s="6">
        <f>SUM(H20:H22)</f>
        <v>52.657000000000004</v>
      </c>
      <c r="I23" s="6">
        <f>SUM(I20:I22)</f>
        <v>54.834999999999994</v>
      </c>
      <c r="J23" s="6"/>
      <c r="Q23" s="5">
        <f>SUM(Q20:Q22)</f>
        <v>212.42400000000001</v>
      </c>
      <c r="R23" s="5">
        <f t="shared" ref="R23:T23" si="3">SUM(R20:R22)</f>
        <v>233.66640000000001</v>
      </c>
      <c r="S23" s="5">
        <f t="shared" si="3"/>
        <v>257.03304000000003</v>
      </c>
      <c r="T23" s="5">
        <f t="shared" si="3"/>
        <v>282.73634400000003</v>
      </c>
    </row>
    <row r="24" spans="2:20" s="5" customFormat="1" x14ac:dyDescent="0.2">
      <c r="B24" s="5" t="s">
        <v>19</v>
      </c>
      <c r="C24" s="6">
        <f>C19-C23</f>
        <v>-56.497</v>
      </c>
      <c r="D24" s="6">
        <f>D19-D23</f>
        <v>-50.904000000000011</v>
      </c>
      <c r="E24" s="6">
        <f>E19-E23</f>
        <v>-31.891000000000009</v>
      </c>
      <c r="F24" s="6"/>
      <c r="G24" s="6">
        <f>G19-G23</f>
        <v>-12.686</v>
      </c>
      <c r="H24" s="6">
        <f>H19-H23</f>
        <v>-9.7050000000000054</v>
      </c>
      <c r="I24" s="6">
        <f>I19-I23</f>
        <v>-7.005999999999986</v>
      </c>
      <c r="J24" s="6"/>
      <c r="Q24" s="5">
        <f>+Q19-Q23</f>
        <v>-35.104000000000013</v>
      </c>
      <c r="R24" s="5">
        <f t="shared" ref="R24:T24" si="4">+R19-R23</f>
        <v>14.58159999999998</v>
      </c>
      <c r="S24" s="5">
        <f t="shared" si="4"/>
        <v>90.514159999999947</v>
      </c>
      <c r="T24" s="5">
        <f t="shared" si="4"/>
        <v>203.82973599999991</v>
      </c>
    </row>
    <row r="25" spans="2:20" s="5" customFormat="1" x14ac:dyDescent="0.2">
      <c r="B25" s="5" t="s">
        <v>27</v>
      </c>
      <c r="C25" s="6">
        <f>2.716-0.772</f>
        <v>1.9440000000000002</v>
      </c>
      <c r="D25" s="6">
        <v>0</v>
      </c>
      <c r="E25" s="6">
        <f>1.053-1.134</f>
        <v>-8.0999999999999961E-2</v>
      </c>
      <c r="F25" s="6"/>
      <c r="G25" s="6">
        <v>-0.59699999999999998</v>
      </c>
      <c r="H25" s="6">
        <v>-0.89400000000000002</v>
      </c>
      <c r="I25" s="6">
        <f>1.144-0.843</f>
        <v>0.30099999999999993</v>
      </c>
      <c r="J25" s="6"/>
    </row>
    <row r="26" spans="2:20" s="5" customFormat="1" x14ac:dyDescent="0.2">
      <c r="B26" s="5" t="s">
        <v>28</v>
      </c>
      <c r="C26" s="6">
        <f>+C24+C25</f>
        <v>-54.552999999999997</v>
      </c>
      <c r="D26" s="6">
        <f>+D24+D25</f>
        <v>-50.904000000000011</v>
      </c>
      <c r="E26" s="6">
        <f>+E24+E25</f>
        <v>-31.972000000000008</v>
      </c>
      <c r="F26" s="6"/>
      <c r="G26" s="6">
        <f>+G24+G25</f>
        <v>-13.282999999999999</v>
      </c>
      <c r="H26" s="6">
        <f>+H24+H25</f>
        <v>-10.599000000000006</v>
      </c>
      <c r="I26" s="6">
        <f>+I24+I25</f>
        <v>-6.7049999999999859</v>
      </c>
      <c r="J26" s="6"/>
    </row>
    <row r="27" spans="2:20" s="5" customFormat="1" x14ac:dyDescent="0.2">
      <c r="B27" s="5" t="s">
        <v>29</v>
      </c>
      <c r="C27" s="6">
        <v>-0.14699999999999999</v>
      </c>
      <c r="D27" s="6">
        <v>0</v>
      </c>
      <c r="E27" s="6">
        <v>0</v>
      </c>
      <c r="F27" s="6"/>
      <c r="G27" s="6">
        <v>-8.2000000000000003E-2</v>
      </c>
      <c r="H27" s="6">
        <v>0.19</v>
      </c>
      <c r="I27" s="6">
        <v>0</v>
      </c>
      <c r="J27" s="6"/>
    </row>
    <row r="28" spans="2:20" x14ac:dyDescent="0.2">
      <c r="B28" s="5" t="s">
        <v>26</v>
      </c>
      <c r="C28" s="6">
        <f t="shared" ref="C28:E28" si="5">+C26-C27</f>
        <v>-54.405999999999999</v>
      </c>
      <c r="D28" s="6">
        <f t="shared" si="5"/>
        <v>-50.904000000000011</v>
      </c>
      <c r="E28" s="6">
        <f t="shared" si="5"/>
        <v>-31.972000000000008</v>
      </c>
      <c r="F28" s="6"/>
      <c r="G28" s="6">
        <f>+G26-G27</f>
        <v>-13.200999999999999</v>
      </c>
      <c r="H28" s="6">
        <f>+H26-H27</f>
        <v>-10.789000000000005</v>
      </c>
      <c r="I28" s="6">
        <f>+I26-I27</f>
        <v>-6.7049999999999859</v>
      </c>
    </row>
    <row r="29" spans="2:20" x14ac:dyDescent="0.2">
      <c r="B29" s="5" t="s">
        <v>30</v>
      </c>
      <c r="C29" s="10">
        <f t="shared" ref="C29:E29" si="6">+C28/C30</f>
        <v>-2.711900565972043</v>
      </c>
      <c r="D29" s="10">
        <f t="shared" si="6"/>
        <v>-2.0026470631973949</v>
      </c>
      <c r="E29" s="10">
        <f t="shared" si="6"/>
        <v>-1.2397655458018184</v>
      </c>
      <c r="F29" s="10"/>
      <c r="G29" s="10">
        <f>+G28/G30</f>
        <v>-0.50651960293406106</v>
      </c>
      <c r="H29" s="10">
        <f>+H28/H30</f>
        <v>-0.40532790742188896</v>
      </c>
      <c r="I29" s="10">
        <f>+I28/I30</f>
        <v>-0.24745362652608346</v>
      </c>
    </row>
    <row r="30" spans="2:20" s="5" customFormat="1" x14ac:dyDescent="0.2">
      <c r="B30" s="5" t="s">
        <v>25</v>
      </c>
      <c r="C30" s="6">
        <v>20.061945000000001</v>
      </c>
      <c r="D30" s="6">
        <v>25.418358000000001</v>
      </c>
      <c r="E30" s="6">
        <v>25.788747000000001</v>
      </c>
      <c r="F30" s="6"/>
      <c r="G30" s="6">
        <v>26.062169999999998</v>
      </c>
      <c r="H30" s="6">
        <v>26.617954999999998</v>
      </c>
      <c r="I30" s="6">
        <v>27.095986</v>
      </c>
      <c r="J30" s="6"/>
    </row>
    <row r="33" spans="2:20" x14ac:dyDescent="0.2">
      <c r="B33" s="5" t="s">
        <v>35</v>
      </c>
      <c r="G33" s="11">
        <f>+G17/C17-1</f>
        <v>0.44699691694290533</v>
      </c>
      <c r="H33" s="11">
        <f>+H17/D17-1</f>
        <v>0.44774771075432196</v>
      </c>
      <c r="I33" s="11">
        <f>+I17/E17-1</f>
        <v>0.44220775566103243</v>
      </c>
      <c r="R33" s="12">
        <f>+R17/Q17-1</f>
        <v>0.39999999999999991</v>
      </c>
      <c r="S33" s="12">
        <f t="shared" ref="S33:T33" si="7">+S17/R17-1</f>
        <v>0.39999999999999991</v>
      </c>
      <c r="T33" s="12">
        <f t="shared" si="7"/>
        <v>0.39999999999999991</v>
      </c>
    </row>
    <row r="34" spans="2:20" x14ac:dyDescent="0.2">
      <c r="B34" s="5" t="s">
        <v>45</v>
      </c>
      <c r="C34" s="11">
        <f t="shared" ref="C34:E34" si="8">+C19/C17</f>
        <v>0.35318389392429134</v>
      </c>
      <c r="D34" s="11">
        <f t="shared" si="8"/>
        <v>0.38510655771362862</v>
      </c>
      <c r="E34" s="11">
        <f t="shared" si="8"/>
        <v>0.47387576684239158</v>
      </c>
      <c r="G34" s="11">
        <f>+G19/G17</f>
        <v>0.59932395629745927</v>
      </c>
      <c r="H34" s="11">
        <f>+H19/H17</f>
        <v>0.6091272655075588</v>
      </c>
      <c r="I34" s="11">
        <f>+I19/I17</f>
        <v>0.62217394697817208</v>
      </c>
    </row>
  </sheetData>
  <hyperlinks>
    <hyperlink ref="A1" location="Main!A1" display="Main" xr:uid="{F022B707-3EB6-4041-BA5C-A53A84720FA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2024-12-26T19:02:48Z</dcterms:created>
  <dcterms:modified xsi:type="dcterms:W3CDTF">2025-10-16T09:28:30Z</dcterms:modified>
</cp:coreProperties>
</file>