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7D761D52-DFE7-43EA-931F-74AD8FEEA38B}" xr6:coauthVersionLast="47" xr6:coauthVersionMax="47" xr10:uidLastSave="{00000000-0000-0000-0000-000000000000}"/>
  <bookViews>
    <workbookView xWindow="1905" yWindow="1905" windowWidth="18075" windowHeight="16020" activeTab="1" xr2:uid="{8196E4A8-0EA1-414F-9F42-7BC19AE7F693}"/>
  </bookViews>
  <sheets>
    <sheet name="Main" sheetId="1" r:id="rId1"/>
    <sheet name="Model" sheetId="2" r:id="rId2"/>
    <sheet name="Gvok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2" l="1"/>
  <c r="V3" i="2"/>
  <c r="U3" i="2"/>
  <c r="U4" i="2"/>
  <c r="V6" i="2"/>
  <c r="W6" i="2" s="1"/>
  <c r="X6" i="2" s="1"/>
  <c r="Y6" i="2" s="1"/>
  <c r="Z6" i="2" s="1"/>
  <c r="AA6" i="2" s="1"/>
  <c r="AB6" i="2" s="1"/>
  <c r="AC6" i="2" s="1"/>
  <c r="AD6" i="2" s="1"/>
  <c r="U6" i="2"/>
  <c r="T6" i="2"/>
  <c r="T4" i="2"/>
  <c r="T3" i="2"/>
  <c r="S21" i="2"/>
  <c r="AD14" i="2"/>
  <c r="AC14" i="2"/>
  <c r="AB14" i="2"/>
  <c r="AA14" i="2"/>
  <c r="Z14" i="2"/>
  <c r="T14" i="2"/>
  <c r="S23" i="2"/>
  <c r="U19" i="2"/>
  <c r="V19" i="2" s="1"/>
  <c r="T19" i="2"/>
  <c r="U11" i="2"/>
  <c r="V11" i="2" s="1"/>
  <c r="W11" i="2" s="1"/>
  <c r="X11" i="2" s="1"/>
  <c r="Y11" i="2" s="1"/>
  <c r="Z11" i="2" s="1"/>
  <c r="AA11" i="2" s="1"/>
  <c r="AB11" i="2" s="1"/>
  <c r="AC11" i="2" s="1"/>
  <c r="AD11" i="2" s="1"/>
  <c r="T11" i="2"/>
  <c r="U10" i="2"/>
  <c r="V10" i="2" s="1"/>
  <c r="T10" i="2"/>
  <c r="T12" i="2"/>
  <c r="R21" i="2"/>
  <c r="Q21" i="2"/>
  <c r="T7" i="2"/>
  <c r="T9" i="2" s="1"/>
  <c r="T21" i="2" s="1"/>
  <c r="U5" i="2"/>
  <c r="V5" i="2" s="1"/>
  <c r="W5" i="2" s="1"/>
  <c r="X5" i="2" s="1"/>
  <c r="Y5" i="2" s="1"/>
  <c r="Z5" i="2" s="1"/>
  <c r="AA5" i="2" s="1"/>
  <c r="AB5" i="2" s="1"/>
  <c r="AC5" i="2" s="1"/>
  <c r="AD5" i="2" s="1"/>
  <c r="T5" i="2"/>
  <c r="V4" i="2"/>
  <c r="AD2" i="2"/>
  <c r="AC2" i="2"/>
  <c r="AB2" i="2"/>
  <c r="AA2" i="2"/>
  <c r="Z2" i="2"/>
  <c r="Y2" i="2"/>
  <c r="X2" i="2"/>
  <c r="W2" i="2"/>
  <c r="V2" i="2"/>
  <c r="U2" i="2"/>
  <c r="X3" i="2" l="1"/>
  <c r="Y3" i="2" s="1"/>
  <c r="Z3" i="2" s="1"/>
  <c r="AA3" i="2" s="1"/>
  <c r="AB3" i="2" s="1"/>
  <c r="AC3" i="2" s="1"/>
  <c r="AD3" i="2" s="1"/>
  <c r="V7" i="2"/>
  <c r="W4" i="2"/>
  <c r="T8" i="2"/>
  <c r="U7" i="2"/>
  <c r="T13" i="2"/>
  <c r="T15" i="2" s="1"/>
  <c r="T17" i="2" s="1"/>
  <c r="T23" i="2" s="1"/>
  <c r="U14" i="2" s="1"/>
  <c r="W19" i="2"/>
  <c r="U12" i="2"/>
  <c r="W10" i="2"/>
  <c r="V12" i="2"/>
  <c r="T18" i="2" l="1"/>
  <c r="U9" i="2"/>
  <c r="U21" i="2" s="1"/>
  <c r="X4" i="2"/>
  <c r="W7" i="2"/>
  <c r="V9" i="2"/>
  <c r="V21" i="2" s="1"/>
  <c r="X19" i="2"/>
  <c r="W12" i="2"/>
  <c r="X10" i="2"/>
  <c r="U13" i="2" l="1"/>
  <c r="U15" i="2" s="1"/>
  <c r="U17" i="2" s="1"/>
  <c r="U8" i="2"/>
  <c r="U18" i="2"/>
  <c r="U23" i="2"/>
  <c r="V14" i="2" s="1"/>
  <c r="V8" i="2"/>
  <c r="Y4" i="2"/>
  <c r="X7" i="2"/>
  <c r="V13" i="2"/>
  <c r="W9" i="2"/>
  <c r="W21" i="2" s="1"/>
  <c r="Y19" i="2"/>
  <c r="X12" i="2"/>
  <c r="Y10" i="2"/>
  <c r="W13" i="2" l="1"/>
  <c r="Z4" i="2"/>
  <c r="Y7" i="2"/>
  <c r="W8" i="2"/>
  <c r="X9" i="2"/>
  <c r="X21" i="2" s="1"/>
  <c r="V15" i="2"/>
  <c r="Z19" i="2"/>
  <c r="Y12" i="2"/>
  <c r="Z10" i="2"/>
  <c r="X8" i="2" l="1"/>
  <c r="Z7" i="2"/>
  <c r="AA4" i="2"/>
  <c r="V16" i="2"/>
  <c r="V17" i="2" s="1"/>
  <c r="Y9" i="2"/>
  <c r="Y21" i="2" s="1"/>
  <c r="X13" i="2"/>
  <c r="AA19" i="2"/>
  <c r="Z12" i="2"/>
  <c r="AA10" i="2"/>
  <c r="V18" i="2" l="1"/>
  <c r="V23" i="2"/>
  <c r="Y8" i="2"/>
  <c r="Y13" i="2"/>
  <c r="AB4" i="2"/>
  <c r="AA7" i="2"/>
  <c r="Z9" i="2"/>
  <c r="Z21" i="2" s="1"/>
  <c r="AB19" i="2"/>
  <c r="AB10" i="2"/>
  <c r="AA12" i="2"/>
  <c r="AC4" i="2" l="1"/>
  <c r="AB7" i="2"/>
  <c r="W14" i="2"/>
  <c r="W15" i="2" s="1"/>
  <c r="Z8" i="2"/>
  <c r="AA9" i="2"/>
  <c r="AA21" i="2" s="1"/>
  <c r="Z13" i="2"/>
  <c r="Z15" i="2" s="1"/>
  <c r="Z16" i="2" s="1"/>
  <c r="Z17" i="2" s="1"/>
  <c r="Z18" i="2" s="1"/>
  <c r="AC19" i="2"/>
  <c r="AC10" i="2"/>
  <c r="AB12" i="2"/>
  <c r="AA8" i="2" l="1"/>
  <c r="AA13" i="2"/>
  <c r="AA15" i="2" s="1"/>
  <c r="W16" i="2"/>
  <c r="W17" i="2" s="1"/>
  <c r="AB9" i="2"/>
  <c r="AB21" i="2" s="1"/>
  <c r="AD4" i="2"/>
  <c r="AD7" i="2" s="1"/>
  <c r="AC7" i="2"/>
  <c r="AD19" i="2"/>
  <c r="AD10" i="2"/>
  <c r="AD12" i="2" s="1"/>
  <c r="AC12" i="2"/>
  <c r="AB8" i="2" l="1"/>
  <c r="W18" i="2"/>
  <c r="W23" i="2"/>
  <c r="AD9" i="2"/>
  <c r="AD21" i="2" s="1"/>
  <c r="AA16" i="2"/>
  <c r="AA17" i="2" s="1"/>
  <c r="AA18" i="2" s="1"/>
  <c r="AD13" i="2"/>
  <c r="AD15" i="2" s="1"/>
  <c r="AC9" i="2"/>
  <c r="AC21" i="2" s="1"/>
  <c r="AB13" i="2"/>
  <c r="AB15" i="2" s="1"/>
  <c r="AB16" i="2" l="1"/>
  <c r="AB17" i="2" s="1"/>
  <c r="AB18" i="2" s="1"/>
  <c r="AC8" i="2"/>
  <c r="AD16" i="2"/>
  <c r="AD17" i="2" s="1"/>
  <c r="AC13" i="2"/>
  <c r="AC15" i="2" s="1"/>
  <c r="AD8" i="2"/>
  <c r="X14" i="2"/>
  <c r="X15" i="2" s="1"/>
  <c r="AD18" i="2" l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AC16" i="2"/>
  <c r="AC17" i="2" s="1"/>
  <c r="AC18" i="2" s="1"/>
  <c r="X16" i="2"/>
  <c r="X17" i="2" s="1"/>
  <c r="X18" i="2" l="1"/>
  <c r="X23" i="2"/>
  <c r="Y14" i="2" s="1"/>
  <c r="Y15" i="2" s="1"/>
  <c r="F7" i="2"/>
  <c r="J7" i="2"/>
  <c r="Q14" i="2"/>
  <c r="Q12" i="2"/>
  <c r="Q7" i="2"/>
  <c r="Q9" i="2" s="1"/>
  <c r="L6" i="1"/>
  <c r="S14" i="2"/>
  <c r="R14" i="2"/>
  <c r="R12" i="2"/>
  <c r="S12" i="2"/>
  <c r="R7" i="2"/>
  <c r="R9" i="2" s="1"/>
  <c r="S7" i="2"/>
  <c r="S9" i="2" s="1"/>
  <c r="L4" i="1"/>
  <c r="L7" i="1" l="1"/>
  <c r="Y16" i="2"/>
  <c r="Y17" i="2"/>
  <c r="S13" i="2"/>
  <c r="S15" i="2" s="1"/>
  <c r="S17" i="2" s="1"/>
  <c r="S18" i="2" s="1"/>
  <c r="Q13" i="2"/>
  <c r="Q15" i="2" s="1"/>
  <c r="Q17" i="2" s="1"/>
  <c r="Q18" i="2" s="1"/>
  <c r="R13" i="2"/>
  <c r="R15" i="2" s="1"/>
  <c r="R17" i="2" s="1"/>
  <c r="R18" i="2" s="1"/>
  <c r="Y18" i="2" l="1"/>
  <c r="V28" i="2"/>
</calcChain>
</file>

<file path=xl/sharedStrings.xml><?xml version="1.0" encoding="utf-8"?>
<sst xmlns="http://schemas.openxmlformats.org/spreadsheetml/2006/main" count="60" uniqueCount="53">
  <si>
    <t>Price</t>
  </si>
  <si>
    <t>Shares</t>
  </si>
  <si>
    <t>MC</t>
  </si>
  <si>
    <t>Cash</t>
  </si>
  <si>
    <t>Debt</t>
  </si>
  <si>
    <t>EV</t>
  </si>
  <si>
    <t>Q424</t>
  </si>
  <si>
    <t>Main</t>
  </si>
  <si>
    <t>Gvoke</t>
  </si>
  <si>
    <t>Recorlev</t>
  </si>
  <si>
    <t>Keveyis</t>
  </si>
  <si>
    <t>Revenue</t>
  </si>
  <si>
    <t>Royalty</t>
  </si>
  <si>
    <t>Gross Profit</t>
  </si>
  <si>
    <t>COGS</t>
  </si>
  <si>
    <t>Operarting Income</t>
  </si>
  <si>
    <t>Operating Expenses</t>
  </si>
  <si>
    <t>R&amp;D</t>
  </si>
  <si>
    <t>SG&amp;A</t>
  </si>
  <si>
    <t>Interest Expense</t>
  </si>
  <si>
    <t>Pretax Income</t>
  </si>
  <si>
    <t>Taxes</t>
  </si>
  <si>
    <t>Net Income</t>
  </si>
  <si>
    <t>EPS</t>
  </si>
  <si>
    <t>Name</t>
  </si>
  <si>
    <t>Indication</t>
  </si>
  <si>
    <t>Brand</t>
  </si>
  <si>
    <t>Generic</t>
  </si>
  <si>
    <t>glucagon</t>
  </si>
  <si>
    <t>hypoglycemia</t>
  </si>
  <si>
    <t>Q123</t>
  </si>
  <si>
    <t>Q223</t>
  </si>
  <si>
    <t>Q323</t>
  </si>
  <si>
    <t>Q423</t>
  </si>
  <si>
    <t>Q124</t>
  </si>
  <si>
    <t>Q224</t>
  </si>
  <si>
    <t>Q324</t>
  </si>
  <si>
    <t>Q125</t>
  </si>
  <si>
    <t>Q225</t>
  </si>
  <si>
    <t>Q325</t>
  </si>
  <si>
    <t>Q425</t>
  </si>
  <si>
    <t>Gvoke (glucagon)</t>
  </si>
  <si>
    <t>Hypoglycemia</t>
  </si>
  <si>
    <t>Approved</t>
  </si>
  <si>
    <t>Recorlev (levoketoconazole)</t>
  </si>
  <si>
    <t>Cushing's</t>
  </si>
  <si>
    <t>Keveyis (dichlorphenamide)</t>
  </si>
  <si>
    <t>Net Cash</t>
  </si>
  <si>
    <t>Gross Margin</t>
  </si>
  <si>
    <t>NPV</t>
  </si>
  <si>
    <t>Discount</t>
  </si>
  <si>
    <t>Maturity</t>
  </si>
  <si>
    <t>XP-8121 (levothyroxine)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</si>
</sst>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0" fontId="4" fillId="0" borderId="1" xfId="1" applyFont="1" applyBorder="1"/>
    <xf numFmtId="0" fontId="4" fillId="0" borderId="0" xfId="1" applyFont="1"/>
    <xf numFmtId="14" fontId="1" fillId="0" borderId="0" xfId="0" applyNumberFormat="1" applyFont="1"/>
    <xf numFmtId="9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E8AAD-EDD3-4A40-BD50-79DFB38CD2F3}">
  <dimension ref="B2:M7"/>
  <sheetViews>
    <sheetView zoomScaleNormal="100" workbookViewId="0">
      <selection activeCell="M7" sqref="M7"/>
    </sheetView>
  </sheetViews>
  <sheetFormatPr defaultColWidth="8.7109375" defaultRowHeight="12.75" x14ac:dyDescent="0.2"/>
  <cols>
    <col min="1" max="1" width="3.42578125" style="1" customWidth="1"/>
    <col min="2" max="2" width="23.85546875" style="1" customWidth="1"/>
    <col min="3" max="3" width="13.140625" style="1" customWidth="1"/>
    <col min="4" max="4" width="10.42578125" style="1" customWidth="1"/>
    <col min="5" max="16384" width="8.7109375" style="1"/>
  </cols>
  <sheetData>
    <row r="2" spans="2:13" x14ac:dyDescent="0.2">
      <c r="B2" s="11" t="s">
        <v>24</v>
      </c>
      <c r="C2" s="12" t="s">
        <v>25</v>
      </c>
      <c r="D2" s="12" t="s">
        <v>43</v>
      </c>
      <c r="E2" s="12"/>
      <c r="F2" s="12"/>
      <c r="G2" s="12"/>
      <c r="H2" s="12"/>
      <c r="I2" s="13"/>
      <c r="K2" s="1" t="s">
        <v>0</v>
      </c>
      <c r="L2" s="2">
        <v>5.7</v>
      </c>
    </row>
    <row r="3" spans="2:13" x14ac:dyDescent="0.2">
      <c r="B3" s="17" t="s">
        <v>41</v>
      </c>
      <c r="C3" s="1" t="s">
        <v>42</v>
      </c>
      <c r="I3" s="7"/>
      <c r="K3" s="1" t="s">
        <v>1</v>
      </c>
      <c r="L3" s="3">
        <v>153.940135</v>
      </c>
      <c r="M3" s="4" t="s">
        <v>6</v>
      </c>
    </row>
    <row r="4" spans="2:13" x14ac:dyDescent="0.2">
      <c r="B4" s="6" t="s">
        <v>44</v>
      </c>
      <c r="C4" s="1" t="s">
        <v>45</v>
      </c>
      <c r="D4" s="19">
        <v>44560</v>
      </c>
      <c r="I4" s="7"/>
      <c r="K4" s="1" t="s">
        <v>2</v>
      </c>
      <c r="L4" s="3">
        <f>+L2*L3</f>
        <v>877.45876950000002</v>
      </c>
    </row>
    <row r="5" spans="2:13" x14ac:dyDescent="0.2">
      <c r="B5" s="6" t="s">
        <v>46</v>
      </c>
      <c r="I5" s="7"/>
      <c r="K5" s="1" t="s">
        <v>3</v>
      </c>
      <c r="L5" s="3">
        <v>71.620999999999995</v>
      </c>
      <c r="M5" s="4" t="s">
        <v>6</v>
      </c>
    </row>
    <row r="6" spans="2:13" x14ac:dyDescent="0.2">
      <c r="B6" s="6"/>
      <c r="I6" s="7"/>
      <c r="K6" s="1" t="s">
        <v>4</v>
      </c>
      <c r="L6" s="3">
        <f>217.006+15.102</f>
        <v>232.108</v>
      </c>
      <c r="M6" s="4" t="s">
        <v>6</v>
      </c>
    </row>
    <row r="7" spans="2:13" x14ac:dyDescent="0.2">
      <c r="B7" s="8" t="s">
        <v>52</v>
      </c>
      <c r="C7" s="9"/>
      <c r="D7" s="9"/>
      <c r="E7" s="9"/>
      <c r="F7" s="9"/>
      <c r="G7" s="9"/>
      <c r="H7" s="9"/>
      <c r="I7" s="10"/>
      <c r="K7" s="1" t="s">
        <v>5</v>
      </c>
      <c r="L7" s="3">
        <f>+L4-L5+L6</f>
        <v>1037.9457695000001</v>
      </c>
    </row>
  </sheetData>
  <hyperlinks>
    <hyperlink ref="B3" location="Gvoke!A1" display="Gvoke" xr:uid="{B58CB984-42D4-4FF1-858D-799F8FED29C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42958-22C0-4360-A114-1FAF7D56C41D}">
  <dimension ref="A1:BI28"/>
  <sheetViews>
    <sheetView tabSelected="1" zoomScaleNormal="10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V28" sqref="V28"/>
    </sheetView>
  </sheetViews>
  <sheetFormatPr defaultColWidth="8.7109375" defaultRowHeight="12.75" x14ac:dyDescent="0.2"/>
  <cols>
    <col min="1" max="1" width="4.7109375" style="1" bestFit="1" customWidth="1"/>
    <col min="2" max="2" width="17.140625" style="1" bestFit="1" customWidth="1"/>
    <col min="3" max="14" width="8.7109375" style="4"/>
    <col min="15" max="16384" width="8.7109375" style="1"/>
  </cols>
  <sheetData>
    <row r="1" spans="1:30" x14ac:dyDescent="0.2">
      <c r="A1" s="18" t="s">
        <v>7</v>
      </c>
    </row>
    <row r="2" spans="1:30" x14ac:dyDescent="0.2"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6</v>
      </c>
      <c r="K2" s="4" t="s">
        <v>37</v>
      </c>
      <c r="L2" s="4" t="s">
        <v>38</v>
      </c>
      <c r="M2" s="4" t="s">
        <v>39</v>
      </c>
      <c r="N2" s="4" t="s">
        <v>40</v>
      </c>
      <c r="Q2" s="1">
        <v>2022</v>
      </c>
      <c r="R2" s="1">
        <v>2023</v>
      </c>
      <c r="S2" s="1">
        <v>2024</v>
      </c>
      <c r="T2" s="1">
        <v>2025</v>
      </c>
      <c r="U2" s="1">
        <f t="shared" ref="U2:AD2" si="0">+T2+1</f>
        <v>2026</v>
      </c>
      <c r="V2" s="1">
        <f t="shared" si="0"/>
        <v>2027</v>
      </c>
      <c r="W2" s="1">
        <f t="shared" si="0"/>
        <v>2028</v>
      </c>
      <c r="X2" s="1">
        <f t="shared" si="0"/>
        <v>2029</v>
      </c>
      <c r="Y2" s="1">
        <f t="shared" si="0"/>
        <v>2030</v>
      </c>
      <c r="Z2" s="1">
        <f t="shared" si="0"/>
        <v>2031</v>
      </c>
      <c r="AA2" s="1">
        <f t="shared" si="0"/>
        <v>2032</v>
      </c>
      <c r="AB2" s="1">
        <f t="shared" si="0"/>
        <v>2033</v>
      </c>
      <c r="AC2" s="1">
        <f t="shared" si="0"/>
        <v>2034</v>
      </c>
      <c r="AD2" s="1">
        <f t="shared" si="0"/>
        <v>2035</v>
      </c>
    </row>
    <row r="3" spans="1:30" s="3" customFormat="1" x14ac:dyDescent="0.2">
      <c r="B3" s="3" t="s">
        <v>8</v>
      </c>
      <c r="C3" s="14"/>
      <c r="D3" s="14"/>
      <c r="E3" s="14"/>
      <c r="F3" s="14">
        <v>18.638999999999999</v>
      </c>
      <c r="G3" s="14"/>
      <c r="H3" s="14"/>
      <c r="I3" s="14"/>
      <c r="J3" s="14">
        <v>23.262</v>
      </c>
      <c r="K3" s="14"/>
      <c r="L3" s="14"/>
      <c r="M3" s="14"/>
      <c r="N3" s="14"/>
      <c r="Q3" s="3">
        <v>52.527000000000001</v>
      </c>
      <c r="R3" s="3">
        <v>67.045000000000002</v>
      </c>
      <c r="S3" s="3">
        <v>82.828999999999994</v>
      </c>
      <c r="T3" s="3">
        <f>+S3*1.2</f>
        <v>99.394799999999989</v>
      </c>
      <c r="U3" s="3">
        <f>+T3*1.1</f>
        <v>109.33427999999999</v>
      </c>
      <c r="V3" s="3">
        <f>+U3*1.1</f>
        <v>120.267708</v>
      </c>
      <c r="W3" s="3">
        <f>+V3*1.1</f>
        <v>132.29447880000001</v>
      </c>
      <c r="X3" s="3">
        <f t="shared" ref="X3:AD3" si="1">+W3*1.03</f>
        <v>136.26331316400001</v>
      </c>
      <c r="Y3" s="3">
        <f t="shared" si="1"/>
        <v>140.35121255892003</v>
      </c>
      <c r="Z3" s="3">
        <f t="shared" si="1"/>
        <v>144.56174893568763</v>
      </c>
      <c r="AA3" s="3">
        <f t="shared" si="1"/>
        <v>148.89860140375828</v>
      </c>
      <c r="AB3" s="3">
        <f t="shared" si="1"/>
        <v>153.36555944587104</v>
      </c>
      <c r="AC3" s="3">
        <f t="shared" si="1"/>
        <v>157.96652622924717</v>
      </c>
      <c r="AD3" s="3">
        <f t="shared" si="1"/>
        <v>162.70552201612458</v>
      </c>
    </row>
    <row r="4" spans="1:30" s="3" customFormat="1" x14ac:dyDescent="0.2">
      <c r="B4" s="3" t="s">
        <v>9</v>
      </c>
      <c r="C4" s="14"/>
      <c r="D4" s="14"/>
      <c r="E4" s="14"/>
      <c r="F4" s="14">
        <v>9.8059999999999992</v>
      </c>
      <c r="G4" s="14"/>
      <c r="H4" s="14"/>
      <c r="I4" s="14"/>
      <c r="J4" s="14">
        <v>22.614000000000001</v>
      </c>
      <c r="K4" s="14"/>
      <c r="L4" s="14"/>
      <c r="M4" s="14"/>
      <c r="N4" s="14"/>
      <c r="Q4" s="3">
        <v>7.4290000000000003</v>
      </c>
      <c r="R4" s="3">
        <v>29.547000000000001</v>
      </c>
      <c r="S4" s="3">
        <v>64.277000000000001</v>
      </c>
      <c r="T4" s="3">
        <f>+S4*1.6</f>
        <v>102.84320000000001</v>
      </c>
      <c r="U4" s="3">
        <f>+T4*1.3</f>
        <v>133.69616000000002</v>
      </c>
      <c r="V4" s="3">
        <f>+U4*1.2</f>
        <v>160.43539200000001</v>
      </c>
      <c r="W4" s="3">
        <f>+V4*1.2</f>
        <v>192.5224704</v>
      </c>
      <c r="X4" s="3">
        <f>+W4*0.2</f>
        <v>38.504494080000001</v>
      </c>
      <c r="Y4" s="3">
        <f>+X4*0.2</f>
        <v>7.7008988160000005</v>
      </c>
      <c r="Z4" s="3">
        <f>+Y4*0.2</f>
        <v>1.5401797632000003</v>
      </c>
      <c r="AA4" s="3">
        <f>+Z4*0.2</f>
        <v>0.30803595264000005</v>
      </c>
      <c r="AB4" s="3">
        <f t="shared" ref="AB4:AD4" si="2">+AA4*0.2</f>
        <v>6.1607190528000011E-2</v>
      </c>
      <c r="AC4" s="3">
        <f t="shared" si="2"/>
        <v>1.2321438105600003E-2</v>
      </c>
      <c r="AD4" s="3">
        <f t="shared" si="2"/>
        <v>2.4642876211200008E-3</v>
      </c>
    </row>
    <row r="5" spans="1:30" s="3" customFormat="1" x14ac:dyDescent="0.2">
      <c r="B5" s="3" t="s">
        <v>10</v>
      </c>
      <c r="C5" s="14"/>
      <c r="D5" s="14"/>
      <c r="E5" s="14"/>
      <c r="F5" s="14">
        <v>14.064</v>
      </c>
      <c r="G5" s="14"/>
      <c r="H5" s="14"/>
      <c r="I5" s="14"/>
      <c r="J5" s="14">
        <v>11.124000000000001</v>
      </c>
      <c r="K5" s="14"/>
      <c r="L5" s="14"/>
      <c r="M5" s="14"/>
      <c r="N5" s="14"/>
      <c r="Q5" s="3">
        <v>49.307000000000002</v>
      </c>
      <c r="R5" s="3">
        <v>56.771999999999998</v>
      </c>
      <c r="S5" s="3">
        <v>49.53</v>
      </c>
      <c r="T5" s="3">
        <f>+S5*0.99</f>
        <v>49.034700000000001</v>
      </c>
      <c r="U5" s="3">
        <f t="shared" ref="U5:AD5" si="3">+T5*0.99</f>
        <v>48.544353000000001</v>
      </c>
      <c r="V5" s="3">
        <f t="shared" si="3"/>
        <v>48.058909470000003</v>
      </c>
      <c r="W5" s="3">
        <f t="shared" si="3"/>
        <v>47.578320375300002</v>
      </c>
      <c r="X5" s="3">
        <f t="shared" si="3"/>
        <v>47.102537171546999</v>
      </c>
      <c r="Y5" s="3">
        <f t="shared" si="3"/>
        <v>46.631511799831529</v>
      </c>
      <c r="Z5" s="3">
        <f t="shared" si="3"/>
        <v>46.165196681833216</v>
      </c>
      <c r="AA5" s="3">
        <f t="shared" si="3"/>
        <v>45.703544715014885</v>
      </c>
      <c r="AB5" s="3">
        <f t="shared" si="3"/>
        <v>45.246509267864738</v>
      </c>
      <c r="AC5" s="3">
        <f t="shared" si="3"/>
        <v>44.794044175186087</v>
      </c>
      <c r="AD5" s="3">
        <f t="shared" si="3"/>
        <v>44.346103733434227</v>
      </c>
    </row>
    <row r="6" spans="1:30" s="3" customFormat="1" x14ac:dyDescent="0.2">
      <c r="B6" s="3" t="s">
        <v>12</v>
      </c>
      <c r="C6" s="14"/>
      <c r="D6" s="14"/>
      <c r="E6" s="14"/>
      <c r="F6" s="14">
        <v>1.881</v>
      </c>
      <c r="G6" s="14"/>
      <c r="H6" s="14"/>
      <c r="I6" s="14"/>
      <c r="J6" s="14">
        <v>3.0990000000000002</v>
      </c>
      <c r="K6" s="14"/>
      <c r="L6" s="14"/>
      <c r="M6" s="14"/>
      <c r="N6" s="14"/>
      <c r="Q6" s="3">
        <v>0.98499999999999999</v>
      </c>
      <c r="R6" s="3">
        <v>10.55</v>
      </c>
      <c r="S6" s="3">
        <v>6.4340000000000002</v>
      </c>
      <c r="T6" s="3">
        <f>+S6</f>
        <v>6.4340000000000002</v>
      </c>
      <c r="U6" s="3">
        <f>+T6*0.9</f>
        <v>5.7906000000000004</v>
      </c>
      <c r="V6" s="3">
        <f t="shared" ref="V6:AD6" si="4">+U6*0.9</f>
        <v>5.2115400000000003</v>
      </c>
      <c r="W6" s="3">
        <f t="shared" si="4"/>
        <v>4.6903860000000002</v>
      </c>
      <c r="X6" s="3">
        <f t="shared" si="4"/>
        <v>4.2213474</v>
      </c>
      <c r="Y6" s="3">
        <f t="shared" si="4"/>
        <v>3.7992126600000002</v>
      </c>
      <c r="Z6" s="3">
        <f t="shared" si="4"/>
        <v>3.4192913940000005</v>
      </c>
      <c r="AA6" s="3">
        <f t="shared" si="4"/>
        <v>3.0773622546000006</v>
      </c>
      <c r="AB6" s="3">
        <f t="shared" si="4"/>
        <v>2.7696260291400008</v>
      </c>
      <c r="AC6" s="3">
        <f t="shared" si="4"/>
        <v>2.4926634262260006</v>
      </c>
      <c r="AD6" s="3">
        <f t="shared" si="4"/>
        <v>2.2433970836034005</v>
      </c>
    </row>
    <row r="7" spans="1:30" s="5" customFormat="1" x14ac:dyDescent="0.2">
      <c r="B7" s="5" t="s">
        <v>11</v>
      </c>
      <c r="C7" s="15"/>
      <c r="D7" s="15"/>
      <c r="E7" s="15"/>
      <c r="F7" s="15">
        <f>SUM(F3:F6)</f>
        <v>44.39</v>
      </c>
      <c r="G7" s="15"/>
      <c r="H7" s="15"/>
      <c r="I7" s="15"/>
      <c r="J7" s="15">
        <f>SUM(J3:J6)</f>
        <v>60.099000000000004</v>
      </c>
      <c r="K7" s="15"/>
      <c r="L7" s="15"/>
      <c r="M7" s="15"/>
      <c r="N7" s="15"/>
      <c r="Q7" s="5">
        <f t="shared" ref="Q7:R7" si="5">SUM(Q3:Q6)</f>
        <v>110.248</v>
      </c>
      <c r="R7" s="5">
        <f t="shared" si="5"/>
        <v>163.91400000000002</v>
      </c>
      <c r="S7" s="5">
        <f>SUM(S3:S6)</f>
        <v>203.07</v>
      </c>
      <c r="T7" s="5">
        <f t="shared" ref="T7:AD7" si="6">SUM(T3:T6)</f>
        <v>257.70670000000001</v>
      </c>
      <c r="U7" s="5">
        <f t="shared" si="6"/>
        <v>297.36539299999998</v>
      </c>
      <c r="V7" s="5">
        <f t="shared" si="6"/>
        <v>333.97354947000002</v>
      </c>
      <c r="W7" s="5">
        <f t="shared" si="6"/>
        <v>377.0856555753</v>
      </c>
      <c r="X7" s="5">
        <f t="shared" si="6"/>
        <v>226.09169181554702</v>
      </c>
      <c r="Y7" s="5">
        <f t="shared" si="6"/>
        <v>198.48283583475157</v>
      </c>
      <c r="Z7" s="5">
        <f t="shared" si="6"/>
        <v>195.68641677472084</v>
      </c>
      <c r="AA7" s="5">
        <f t="shared" si="6"/>
        <v>197.98754432601316</v>
      </c>
      <c r="AB7" s="5">
        <f t="shared" si="6"/>
        <v>201.4433019334038</v>
      </c>
      <c r="AC7" s="5">
        <f t="shared" si="6"/>
        <v>205.26555526876484</v>
      </c>
      <c r="AD7" s="5">
        <f t="shared" si="6"/>
        <v>209.29748712078333</v>
      </c>
    </row>
    <row r="8" spans="1:30" s="3" customFormat="1" x14ac:dyDescent="0.2">
      <c r="B8" s="3" t="s">
        <v>14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Q8" s="3">
        <v>22.634</v>
      </c>
      <c r="R8" s="3">
        <v>28.645</v>
      </c>
      <c r="S8" s="3">
        <v>36.832000000000001</v>
      </c>
      <c r="T8" s="3">
        <f t="shared" ref="T8:AD8" si="7">+T7-T9</f>
        <v>46.38720600000002</v>
      </c>
      <c r="U8" s="3">
        <f t="shared" si="7"/>
        <v>53.525770740000013</v>
      </c>
      <c r="V8" s="3">
        <f t="shared" si="7"/>
        <v>60.115238904600005</v>
      </c>
      <c r="W8" s="3">
        <f t="shared" si="7"/>
        <v>67.875418003554046</v>
      </c>
      <c r="X8" s="3">
        <f t="shared" si="7"/>
        <v>40.696504526798464</v>
      </c>
      <c r="Y8" s="3">
        <f t="shared" si="7"/>
        <v>35.726910450255303</v>
      </c>
      <c r="Z8" s="3">
        <f t="shared" si="7"/>
        <v>35.223555019449748</v>
      </c>
      <c r="AA8" s="3">
        <f t="shared" si="7"/>
        <v>35.637757978682373</v>
      </c>
      <c r="AB8" s="3">
        <f t="shared" si="7"/>
        <v>36.25979434801269</v>
      </c>
      <c r="AC8" s="3">
        <f t="shared" si="7"/>
        <v>36.947799948377678</v>
      </c>
      <c r="AD8" s="3">
        <f t="shared" si="7"/>
        <v>37.673547681741013</v>
      </c>
    </row>
    <row r="9" spans="1:30" s="3" customFormat="1" x14ac:dyDescent="0.2">
      <c r="B9" s="3" t="s">
        <v>13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Q9" s="3">
        <f>+Q7-Q8</f>
        <v>87.614000000000004</v>
      </c>
      <c r="R9" s="3">
        <f>+R7-R8</f>
        <v>135.26900000000001</v>
      </c>
      <c r="S9" s="3">
        <f>+S7-S8</f>
        <v>166.238</v>
      </c>
      <c r="T9" s="3">
        <f t="shared" ref="T9:AD9" si="8">+T7*0.82</f>
        <v>211.31949399999999</v>
      </c>
      <c r="U9" s="3">
        <f t="shared" si="8"/>
        <v>243.83962225999997</v>
      </c>
      <c r="V9" s="3">
        <f t="shared" si="8"/>
        <v>273.85831056540002</v>
      </c>
      <c r="W9" s="3">
        <f t="shared" si="8"/>
        <v>309.21023757174595</v>
      </c>
      <c r="X9" s="3">
        <f t="shared" si="8"/>
        <v>185.39518728874856</v>
      </c>
      <c r="Y9" s="3">
        <f t="shared" si="8"/>
        <v>162.75592538449627</v>
      </c>
      <c r="Z9" s="3">
        <f t="shared" si="8"/>
        <v>160.46286175527109</v>
      </c>
      <c r="AA9" s="3">
        <f t="shared" si="8"/>
        <v>162.34978634733079</v>
      </c>
      <c r="AB9" s="3">
        <f t="shared" si="8"/>
        <v>165.18350758539111</v>
      </c>
      <c r="AC9" s="3">
        <f t="shared" si="8"/>
        <v>168.31775532038716</v>
      </c>
      <c r="AD9" s="3">
        <f t="shared" si="8"/>
        <v>171.62393943904232</v>
      </c>
    </row>
    <row r="10" spans="1:30" s="3" customFormat="1" x14ac:dyDescent="0.2">
      <c r="B10" s="3" t="s">
        <v>17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Q10" s="3">
        <v>20.966000000000001</v>
      </c>
      <c r="R10" s="3">
        <v>22.341000000000001</v>
      </c>
      <c r="S10" s="3">
        <v>25.56</v>
      </c>
      <c r="T10" s="3">
        <f>+S10*0.9</f>
        <v>23.003999999999998</v>
      </c>
      <c r="U10" s="3">
        <f t="shared" ref="U10:AD10" si="9">+T10*0.9</f>
        <v>20.703599999999998</v>
      </c>
      <c r="V10" s="3">
        <f t="shared" si="9"/>
        <v>18.633239999999997</v>
      </c>
      <c r="W10" s="3">
        <f t="shared" si="9"/>
        <v>16.769915999999998</v>
      </c>
      <c r="X10" s="3">
        <f t="shared" si="9"/>
        <v>15.092924399999999</v>
      </c>
      <c r="Y10" s="3">
        <f t="shared" si="9"/>
        <v>13.58363196</v>
      </c>
      <c r="Z10" s="3">
        <f t="shared" si="9"/>
        <v>12.225268764000001</v>
      </c>
      <c r="AA10" s="3">
        <f t="shared" si="9"/>
        <v>11.002741887600001</v>
      </c>
      <c r="AB10" s="3">
        <f t="shared" si="9"/>
        <v>9.9024676988400007</v>
      </c>
      <c r="AC10" s="3">
        <f t="shared" si="9"/>
        <v>8.9122209289560015</v>
      </c>
      <c r="AD10" s="3">
        <f t="shared" si="9"/>
        <v>8.0209988360604019</v>
      </c>
    </row>
    <row r="11" spans="1:30" s="3" customFormat="1" x14ac:dyDescent="0.2">
      <c r="B11" s="3" t="s">
        <v>18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Q11" s="3">
        <v>137.745</v>
      </c>
      <c r="R11" s="3">
        <v>146.095</v>
      </c>
      <c r="S11" s="3">
        <v>163.48099999999999</v>
      </c>
      <c r="T11" s="3">
        <f>+S11*0.9</f>
        <v>147.13290000000001</v>
      </c>
      <c r="U11" s="3">
        <f t="shared" ref="U11:AD11" si="10">+T11*0.9</f>
        <v>132.41961000000001</v>
      </c>
      <c r="V11" s="3">
        <f t="shared" si="10"/>
        <v>119.177649</v>
      </c>
      <c r="W11" s="3">
        <f t="shared" si="10"/>
        <v>107.25988410000001</v>
      </c>
      <c r="X11" s="3">
        <f t="shared" si="10"/>
        <v>96.533895690000008</v>
      </c>
      <c r="Y11" s="3">
        <f t="shared" si="10"/>
        <v>86.88050612100001</v>
      </c>
      <c r="Z11" s="3">
        <f t="shared" si="10"/>
        <v>78.192455508900011</v>
      </c>
      <c r="AA11" s="3">
        <f t="shared" si="10"/>
        <v>70.373209958010008</v>
      </c>
      <c r="AB11" s="3">
        <f t="shared" si="10"/>
        <v>63.335888962209012</v>
      </c>
      <c r="AC11" s="3">
        <f t="shared" si="10"/>
        <v>57.002300065988109</v>
      </c>
      <c r="AD11" s="3">
        <f t="shared" si="10"/>
        <v>51.302070059389301</v>
      </c>
    </row>
    <row r="12" spans="1:30" s="3" customFormat="1" x14ac:dyDescent="0.2">
      <c r="B12" s="3" t="s">
        <v>16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Q12" s="3">
        <f t="shared" ref="Q12:R12" si="11">+Q10+Q11</f>
        <v>158.71100000000001</v>
      </c>
      <c r="R12" s="3">
        <f t="shared" si="11"/>
        <v>168.43600000000001</v>
      </c>
      <c r="S12" s="3">
        <f>+S10+S11</f>
        <v>189.041</v>
      </c>
      <c r="T12" s="3">
        <f t="shared" ref="T12:AD12" si="12">+T10+T11</f>
        <v>170.1369</v>
      </c>
      <c r="U12" s="3">
        <f t="shared" si="12"/>
        <v>153.12321</v>
      </c>
      <c r="V12" s="3">
        <f t="shared" si="12"/>
        <v>137.810889</v>
      </c>
      <c r="W12" s="3">
        <f t="shared" si="12"/>
        <v>124.0298001</v>
      </c>
      <c r="X12" s="3">
        <f t="shared" si="12"/>
        <v>111.62682009000001</v>
      </c>
      <c r="Y12" s="3">
        <f t="shared" si="12"/>
        <v>100.46413808100002</v>
      </c>
      <c r="Z12" s="3">
        <f t="shared" si="12"/>
        <v>90.417724272900017</v>
      </c>
      <c r="AA12" s="3">
        <f t="shared" si="12"/>
        <v>81.375951845610004</v>
      </c>
      <c r="AB12" s="3">
        <f t="shared" si="12"/>
        <v>73.238356661049011</v>
      </c>
      <c r="AC12" s="3">
        <f t="shared" si="12"/>
        <v>65.914520994944112</v>
      </c>
      <c r="AD12" s="3">
        <f t="shared" si="12"/>
        <v>59.323068895449701</v>
      </c>
    </row>
    <row r="13" spans="1:30" s="3" customFormat="1" x14ac:dyDescent="0.2">
      <c r="B13" s="3" t="s">
        <v>15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Q13" s="3">
        <f t="shared" ref="Q13:R13" si="13">+Q9-Q12</f>
        <v>-71.097000000000008</v>
      </c>
      <c r="R13" s="3">
        <f t="shared" si="13"/>
        <v>-33.167000000000002</v>
      </c>
      <c r="S13" s="3">
        <f>+S9-S12</f>
        <v>-22.802999999999997</v>
      </c>
      <c r="T13" s="3">
        <f t="shared" ref="T13:AD13" si="14">+T9-T12</f>
        <v>41.182593999999995</v>
      </c>
      <c r="U13" s="3">
        <f t="shared" si="14"/>
        <v>90.71641225999997</v>
      </c>
      <c r="V13" s="3">
        <f t="shared" si="14"/>
        <v>136.04742156540001</v>
      </c>
      <c r="W13" s="3">
        <f t="shared" si="14"/>
        <v>185.18043747174596</v>
      </c>
      <c r="X13" s="3">
        <f t="shared" si="14"/>
        <v>73.76836719874855</v>
      </c>
      <c r="Y13" s="3">
        <f t="shared" si="14"/>
        <v>62.29178730349625</v>
      </c>
      <c r="Z13" s="3">
        <f t="shared" si="14"/>
        <v>70.045137482371075</v>
      </c>
      <c r="AA13" s="3">
        <f t="shared" si="14"/>
        <v>80.973834501720788</v>
      </c>
      <c r="AB13" s="3">
        <f t="shared" si="14"/>
        <v>91.945150924342101</v>
      </c>
      <c r="AC13" s="3">
        <f t="shared" si="14"/>
        <v>102.40323432544305</v>
      </c>
      <c r="AD13" s="3">
        <f t="shared" si="14"/>
        <v>112.30087054359262</v>
      </c>
    </row>
    <row r="14" spans="1:30" s="3" customFormat="1" x14ac:dyDescent="0.2">
      <c r="B14" s="3" t="s">
        <v>19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Q14" s="3">
        <f>2.578-14.102</f>
        <v>-11.524000000000001</v>
      </c>
      <c r="R14" s="3">
        <f>4.751-26.609</f>
        <v>-21.858000000000001</v>
      </c>
      <c r="S14" s="3">
        <f>5.321-30.485</f>
        <v>-25.164000000000001</v>
      </c>
      <c r="T14" s="3">
        <f t="shared" ref="T14:AD14" si="15">+S23*0.1</f>
        <v>-16</v>
      </c>
      <c r="U14" s="3">
        <f t="shared" si="15"/>
        <v>-13.481740600000002</v>
      </c>
      <c r="V14" s="3">
        <f t="shared" si="15"/>
        <v>-5.758273434000003</v>
      </c>
      <c r="W14" s="3">
        <f t="shared" si="15"/>
        <v>6.6191956384829966</v>
      </c>
      <c r="X14" s="3">
        <f t="shared" si="15"/>
        <v>24.840160783954747</v>
      </c>
      <c r="Y14" s="3">
        <f t="shared" si="15"/>
        <v>34.207970942311555</v>
      </c>
      <c r="Z14" s="3">
        <f t="shared" si="15"/>
        <v>0</v>
      </c>
      <c r="AA14" s="3">
        <f t="shared" si="15"/>
        <v>0</v>
      </c>
      <c r="AB14" s="3">
        <f t="shared" si="15"/>
        <v>0</v>
      </c>
      <c r="AC14" s="3">
        <f t="shared" si="15"/>
        <v>0</v>
      </c>
      <c r="AD14" s="3">
        <f t="shared" si="15"/>
        <v>0</v>
      </c>
    </row>
    <row r="15" spans="1:30" s="3" customFormat="1" x14ac:dyDescent="0.2">
      <c r="B15" s="3" t="s">
        <v>20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Q15" s="3">
        <f>+Q13+Q14</f>
        <v>-82.621000000000009</v>
      </c>
      <c r="R15" s="3">
        <f>+R13+R14</f>
        <v>-55.025000000000006</v>
      </c>
      <c r="S15" s="3">
        <f>+S13+S14</f>
        <v>-47.966999999999999</v>
      </c>
      <c r="T15" s="3">
        <f t="shared" ref="T15:AD15" si="16">+T13+T14</f>
        <v>25.182593999999995</v>
      </c>
      <c r="U15" s="3">
        <f t="shared" si="16"/>
        <v>77.234671659999975</v>
      </c>
      <c r="V15" s="3">
        <f t="shared" si="16"/>
        <v>130.2891481314</v>
      </c>
      <c r="W15" s="3">
        <f t="shared" si="16"/>
        <v>191.79963311022897</v>
      </c>
      <c r="X15" s="3">
        <f t="shared" si="16"/>
        <v>98.608527982703293</v>
      </c>
      <c r="Y15" s="3">
        <f t="shared" si="16"/>
        <v>96.499758245807811</v>
      </c>
      <c r="Z15" s="3">
        <f t="shared" si="16"/>
        <v>70.045137482371075</v>
      </c>
      <c r="AA15" s="3">
        <f t="shared" si="16"/>
        <v>80.973834501720788</v>
      </c>
      <c r="AB15" s="3">
        <f t="shared" si="16"/>
        <v>91.945150924342101</v>
      </c>
      <c r="AC15" s="3">
        <f t="shared" si="16"/>
        <v>102.40323432544305</v>
      </c>
      <c r="AD15" s="3">
        <f t="shared" si="16"/>
        <v>112.30087054359262</v>
      </c>
    </row>
    <row r="16" spans="1:30" s="3" customFormat="1" x14ac:dyDescent="0.2">
      <c r="B16" s="3" t="s">
        <v>21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f>+V15*0.05</f>
        <v>6.5144574065700001</v>
      </c>
      <c r="W16" s="3">
        <f>+W15*0.05</f>
        <v>9.5899816555114494</v>
      </c>
      <c r="X16" s="3">
        <f>+X15*0.05</f>
        <v>4.9304263991351647</v>
      </c>
      <c r="Y16" s="3">
        <f>+Y15*0.1</f>
        <v>9.6499758245807818</v>
      </c>
      <c r="Z16" s="3">
        <f>+Z15*0.2</f>
        <v>14.009027496474216</v>
      </c>
      <c r="AA16" s="3">
        <f t="shared" ref="AA16:AD16" si="17">+AA15*0.2</f>
        <v>16.19476690034416</v>
      </c>
      <c r="AB16" s="3">
        <f t="shared" si="17"/>
        <v>18.389030184868421</v>
      </c>
      <c r="AC16" s="3">
        <f t="shared" si="17"/>
        <v>20.480646865088612</v>
      </c>
      <c r="AD16" s="3">
        <f t="shared" si="17"/>
        <v>22.460174108718526</v>
      </c>
    </row>
    <row r="17" spans="2:61" s="3" customFormat="1" x14ac:dyDescent="0.2">
      <c r="B17" s="3" t="s">
        <v>22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Q17" s="3">
        <f>+Q15-Q16</f>
        <v>-82.621000000000009</v>
      </c>
      <c r="R17" s="3">
        <f>+R15-R16</f>
        <v>-55.025000000000006</v>
      </c>
      <c r="S17" s="3">
        <f>+S15-S16</f>
        <v>-47.966999999999999</v>
      </c>
      <c r="T17" s="3">
        <f t="shared" ref="T17:AD17" si="18">+T15-T16</f>
        <v>25.182593999999995</v>
      </c>
      <c r="U17" s="3">
        <f t="shared" si="18"/>
        <v>77.234671659999975</v>
      </c>
      <c r="V17" s="3">
        <f t="shared" si="18"/>
        <v>123.77469072482999</v>
      </c>
      <c r="W17" s="3">
        <f t="shared" si="18"/>
        <v>182.20965145471752</v>
      </c>
      <c r="X17" s="3">
        <f t="shared" si="18"/>
        <v>93.678101583568122</v>
      </c>
      <c r="Y17" s="3">
        <f t="shared" si="18"/>
        <v>86.849782421227033</v>
      </c>
      <c r="Z17" s="3">
        <f t="shared" si="18"/>
        <v>56.036109985896857</v>
      </c>
      <c r="AA17" s="3">
        <f t="shared" si="18"/>
        <v>64.779067601376624</v>
      </c>
      <c r="AB17" s="3">
        <f t="shared" si="18"/>
        <v>73.556120739473684</v>
      </c>
      <c r="AC17" s="3">
        <f t="shared" si="18"/>
        <v>81.922587460354436</v>
      </c>
      <c r="AD17" s="3">
        <f t="shared" si="18"/>
        <v>89.840696434874104</v>
      </c>
      <c r="AE17" s="3">
        <f>+AD17*(1+$V$27)</f>
        <v>80.856626791386702</v>
      </c>
      <c r="AF17" s="3">
        <f t="shared" ref="AF17:BI17" si="19">+AE17*(1+$V$27)</f>
        <v>72.770964112248038</v>
      </c>
      <c r="AG17" s="3">
        <f t="shared" si="19"/>
        <v>65.493867701023234</v>
      </c>
      <c r="AH17" s="3">
        <f t="shared" si="19"/>
        <v>58.944480930920911</v>
      </c>
      <c r="AI17" s="3">
        <f t="shared" si="19"/>
        <v>53.050032837828823</v>
      </c>
      <c r="AJ17" s="3">
        <f t="shared" si="19"/>
        <v>47.745029554045942</v>
      </c>
      <c r="AK17" s="3">
        <f t="shared" si="19"/>
        <v>42.970526598641349</v>
      </c>
      <c r="AL17" s="3">
        <f t="shared" si="19"/>
        <v>38.673473938777214</v>
      </c>
      <c r="AM17" s="3">
        <f t="shared" si="19"/>
        <v>34.806126544899492</v>
      </c>
      <c r="AN17" s="3">
        <f t="shared" si="19"/>
        <v>31.325513890409542</v>
      </c>
      <c r="AO17" s="3">
        <f t="shared" si="19"/>
        <v>28.192962501368587</v>
      </c>
      <c r="AP17" s="3">
        <f t="shared" si="19"/>
        <v>25.373666251231729</v>
      </c>
      <c r="AQ17" s="3">
        <f t="shared" si="19"/>
        <v>22.836299626108556</v>
      </c>
      <c r="AR17" s="3">
        <f t="shared" si="19"/>
        <v>20.552669663497699</v>
      </c>
      <c r="AS17" s="3">
        <f t="shared" si="19"/>
        <v>18.49740269714793</v>
      </c>
      <c r="AT17" s="3">
        <f t="shared" si="19"/>
        <v>16.647662427433136</v>
      </c>
      <c r="AU17" s="3">
        <f t="shared" si="19"/>
        <v>14.982896184689823</v>
      </c>
      <c r="AV17" s="3">
        <f t="shared" si="19"/>
        <v>13.48460656622084</v>
      </c>
      <c r="AW17" s="3">
        <f t="shared" si="19"/>
        <v>12.136145909598756</v>
      </c>
      <c r="AX17" s="3">
        <f t="shared" si="19"/>
        <v>10.922531318638882</v>
      </c>
      <c r="AY17" s="3">
        <f t="shared" si="19"/>
        <v>9.8302781867749935</v>
      </c>
      <c r="AZ17" s="3">
        <f t="shared" si="19"/>
        <v>8.8472503680974945</v>
      </c>
      <c r="BA17" s="3">
        <f t="shared" si="19"/>
        <v>7.9625253312877451</v>
      </c>
      <c r="BB17" s="3">
        <f t="shared" si="19"/>
        <v>7.1662727981589711</v>
      </c>
      <c r="BC17" s="3">
        <f t="shared" si="19"/>
        <v>6.4496455183430745</v>
      </c>
      <c r="BD17" s="3">
        <f t="shared" si="19"/>
        <v>5.8046809665087675</v>
      </c>
      <c r="BE17" s="3">
        <f t="shared" si="19"/>
        <v>5.2242128698578911</v>
      </c>
      <c r="BF17" s="3">
        <f t="shared" si="19"/>
        <v>4.7017915828721017</v>
      </c>
      <c r="BG17" s="3">
        <f t="shared" si="19"/>
        <v>4.2316124245848918</v>
      </c>
      <c r="BH17" s="3">
        <f t="shared" si="19"/>
        <v>3.8084511821264027</v>
      </c>
      <c r="BI17" s="3">
        <f t="shared" si="19"/>
        <v>3.4276060639137627</v>
      </c>
    </row>
    <row r="18" spans="2:61" x14ac:dyDescent="0.2">
      <c r="B18" s="1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2"/>
      <c r="P18" s="2"/>
      <c r="Q18" s="2">
        <f>+Q17/Q19</f>
        <v>-0.6091703836092357</v>
      </c>
      <c r="R18" s="2">
        <f>+R17/R19</f>
        <v>-0.39967355840434976</v>
      </c>
      <c r="S18" s="2">
        <f>+S17/S19</f>
        <v>-0.32681132829840259</v>
      </c>
      <c r="T18" s="2">
        <f>+T17/T19</f>
        <v>0.17157539548313178</v>
      </c>
      <c r="U18" s="2">
        <f t="shared" ref="U18:AD18" si="20">+U17/U19</f>
        <v>0.5262193932473489</v>
      </c>
      <c r="V18" s="2">
        <f t="shared" si="20"/>
        <v>0.84330833876426836</v>
      </c>
      <c r="W18" s="2">
        <f t="shared" si="20"/>
        <v>1.2414405366336272</v>
      </c>
      <c r="X18" s="2">
        <f t="shared" si="20"/>
        <v>0.63825264892527345</v>
      </c>
      <c r="Y18" s="2">
        <f t="shared" si="20"/>
        <v>0.59172957982588992</v>
      </c>
      <c r="Z18" s="2">
        <f t="shared" si="20"/>
        <v>0.38178821975871607</v>
      </c>
      <c r="AA18" s="2">
        <f t="shared" si="20"/>
        <v>0.4413562059069342</v>
      </c>
      <c r="AB18" s="2">
        <f t="shared" si="20"/>
        <v>0.50115649349229829</v>
      </c>
      <c r="AC18" s="2">
        <f t="shared" si="20"/>
        <v>0.5581593517535075</v>
      </c>
      <c r="AD18" s="2">
        <f t="shared" si="20"/>
        <v>0.6121074350519059</v>
      </c>
    </row>
    <row r="19" spans="2:61" x14ac:dyDescent="0.2">
      <c r="B19" s="1" t="s">
        <v>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3"/>
      <c r="P19" s="3"/>
      <c r="Q19" s="3">
        <v>135.62872100000001</v>
      </c>
      <c r="R19" s="3">
        <v>137.674857</v>
      </c>
      <c r="S19" s="3">
        <v>146.77275800000001</v>
      </c>
      <c r="T19" s="3">
        <f>+S19</f>
        <v>146.77275800000001</v>
      </c>
      <c r="U19" s="3">
        <f t="shared" ref="U19:AD19" si="21">+T19</f>
        <v>146.77275800000001</v>
      </c>
      <c r="V19" s="3">
        <f t="shared" si="21"/>
        <v>146.77275800000001</v>
      </c>
      <c r="W19" s="3">
        <f t="shared" si="21"/>
        <v>146.77275800000001</v>
      </c>
      <c r="X19" s="3">
        <f t="shared" si="21"/>
        <v>146.77275800000001</v>
      </c>
      <c r="Y19" s="3">
        <f t="shared" si="21"/>
        <v>146.77275800000001</v>
      </c>
      <c r="Z19" s="3">
        <f t="shared" si="21"/>
        <v>146.77275800000001</v>
      </c>
      <c r="AA19" s="3">
        <f t="shared" si="21"/>
        <v>146.77275800000001</v>
      </c>
      <c r="AB19" s="3">
        <f t="shared" si="21"/>
        <v>146.77275800000001</v>
      </c>
      <c r="AC19" s="3">
        <f t="shared" si="21"/>
        <v>146.77275800000001</v>
      </c>
      <c r="AD19" s="3">
        <f t="shared" si="21"/>
        <v>146.77275800000001</v>
      </c>
    </row>
    <row r="21" spans="2:61" x14ac:dyDescent="0.2">
      <c r="B21" s="1" t="s">
        <v>48</v>
      </c>
      <c r="Q21" s="20">
        <f>Q9/Q7</f>
        <v>0.7946992235686815</v>
      </c>
      <c r="R21" s="20">
        <f t="shared" ref="R21:AD21" si="22">R9/R7</f>
        <v>0.8252437253681808</v>
      </c>
      <c r="S21" s="20">
        <f t="shared" si="22"/>
        <v>0.81862411976165861</v>
      </c>
      <c r="T21" s="20">
        <f t="shared" si="22"/>
        <v>0.82</v>
      </c>
      <c r="U21" s="20">
        <f t="shared" si="22"/>
        <v>0.82</v>
      </c>
      <c r="V21" s="20">
        <f t="shared" si="22"/>
        <v>0.82</v>
      </c>
      <c r="W21" s="20">
        <f t="shared" si="22"/>
        <v>0.81999999999999984</v>
      </c>
      <c r="X21" s="20">
        <f t="shared" si="22"/>
        <v>0.82</v>
      </c>
      <c r="Y21" s="20">
        <f t="shared" si="22"/>
        <v>0.81999999999999984</v>
      </c>
      <c r="Z21" s="20">
        <f t="shared" si="22"/>
        <v>0.82000000000000006</v>
      </c>
      <c r="AA21" s="20">
        <f t="shared" si="22"/>
        <v>0.82</v>
      </c>
      <c r="AB21" s="20">
        <f t="shared" si="22"/>
        <v>0.82</v>
      </c>
      <c r="AC21" s="20">
        <f t="shared" si="22"/>
        <v>0.82</v>
      </c>
      <c r="AD21" s="20">
        <f t="shared" si="22"/>
        <v>0.82</v>
      </c>
    </row>
    <row r="23" spans="2:61" x14ac:dyDescent="0.2">
      <c r="B23" s="1" t="s">
        <v>47</v>
      </c>
      <c r="S23" s="1">
        <f>72-232</f>
        <v>-160</v>
      </c>
      <c r="T23" s="3">
        <f>+S23+T17</f>
        <v>-134.81740600000001</v>
      </c>
      <c r="U23" s="3">
        <f>+T23+U17</f>
        <v>-57.58273434000003</v>
      </c>
      <c r="V23" s="3">
        <f>+U23+V17</f>
        <v>66.191956384829965</v>
      </c>
      <c r="W23" s="3">
        <f>+V23+W17</f>
        <v>248.40160783954747</v>
      </c>
      <c r="X23" s="3">
        <f>+W23+X17</f>
        <v>342.07970942311556</v>
      </c>
    </row>
    <row r="26" spans="2:61" x14ac:dyDescent="0.2">
      <c r="U26" s="1" t="s">
        <v>50</v>
      </c>
      <c r="V26" s="20">
        <v>0.09</v>
      </c>
    </row>
    <row r="27" spans="2:61" x14ac:dyDescent="0.2">
      <c r="U27" s="1" t="s">
        <v>51</v>
      </c>
      <c r="V27" s="20">
        <v>-0.1</v>
      </c>
    </row>
    <row r="28" spans="2:61" x14ac:dyDescent="0.2">
      <c r="U28" s="1" t="s">
        <v>49</v>
      </c>
      <c r="V28" s="3">
        <f>NPV(V26,T17:CD17)</f>
        <v>756.37533757115784</v>
      </c>
    </row>
  </sheetData>
  <hyperlinks>
    <hyperlink ref="A1" location="Main!A1" display="Main" xr:uid="{A1D759DA-BC03-4C6B-8949-D743BFFF24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749AD-2937-4A2E-97DF-09144603F31C}">
  <dimension ref="A1:C5"/>
  <sheetViews>
    <sheetView zoomScaleNormal="100" workbookViewId="0">
      <selection activeCell="C4" sqref="C4"/>
    </sheetView>
  </sheetViews>
  <sheetFormatPr defaultColWidth="8.7109375" defaultRowHeight="12.75" x14ac:dyDescent="0.2"/>
  <cols>
    <col min="1" max="1" width="4.5703125" style="1" bestFit="1" customWidth="1"/>
    <col min="2" max="2" width="12.140625" style="1" bestFit="1" customWidth="1"/>
    <col min="3" max="16384" width="8.7109375" style="1"/>
  </cols>
  <sheetData>
    <row r="1" spans="1:3" x14ac:dyDescent="0.2">
      <c r="A1" s="18" t="s">
        <v>7</v>
      </c>
    </row>
    <row r="2" spans="1:3" x14ac:dyDescent="0.2">
      <c r="B2" s="1" t="s">
        <v>26</v>
      </c>
      <c r="C2" s="1" t="s">
        <v>8</v>
      </c>
    </row>
    <row r="3" spans="1:3" x14ac:dyDescent="0.2">
      <c r="B3" s="1" t="s">
        <v>27</v>
      </c>
      <c r="C3" s="1" t="s">
        <v>28</v>
      </c>
    </row>
    <row r="4" spans="1:3" x14ac:dyDescent="0.2">
      <c r="B4" s="1" t="s">
        <v>25</v>
      </c>
      <c r="C4" s="1" t="s">
        <v>29</v>
      </c>
    </row>
    <row r="5" spans="1:3" x14ac:dyDescent="0.2">
      <c r="C5" s="2"/>
    </row>
  </sheetData>
  <hyperlinks>
    <hyperlink ref="A1" location="Main!A1" display="Main" xr:uid="{816FE09A-D63D-462A-BACA-ACC875CF78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Gvoke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2025-03-27T15:03:26Z</dcterms:created>
  <dcterms:modified xsi:type="dcterms:W3CDTF">2025-10-16T08:48:08Z</dcterms:modified>
</cp:coreProperties>
</file>