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9C84E9A-32C0-47BB-B399-FD5F720BDC30}" xr6:coauthVersionLast="47" xr6:coauthVersionMax="47" xr10:uidLastSave="{00000000-0000-0000-0000-000000000000}"/>
  <bookViews>
    <workbookView xWindow="3030" yWindow="3030" windowWidth="18075" windowHeight="16020" activeTab="1" xr2:uid="{0DB73A73-2E5B-4C79-A48B-500A9B90B2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L35" i="2"/>
  <c r="H34" i="2"/>
  <c r="H36" i="2" s="1"/>
  <c r="L34" i="2"/>
  <c r="V8" i="2"/>
  <c r="V7" i="2"/>
  <c r="V6" i="2"/>
  <c r="V9" i="2" s="1"/>
  <c r="V16" i="2"/>
  <c r="N3" i="2"/>
  <c r="N18" i="2" s="1"/>
  <c r="M3" i="2"/>
  <c r="M18" i="2" s="1"/>
  <c r="L9" i="2"/>
  <c r="L5" i="2"/>
  <c r="G35" i="2"/>
  <c r="G36" i="2"/>
  <c r="K35" i="2"/>
  <c r="K36" i="2" s="1"/>
  <c r="K9" i="2"/>
  <c r="L18" i="2"/>
  <c r="K5" i="2"/>
  <c r="K10" i="2" s="1"/>
  <c r="K12" i="2" s="1"/>
  <c r="K14" i="2" s="1"/>
  <c r="K15" i="2" s="1"/>
  <c r="J13" i="2"/>
  <c r="J16" i="2"/>
  <c r="J8" i="2"/>
  <c r="J7" i="2"/>
  <c r="J6" i="2"/>
  <c r="J9" i="2" s="1"/>
  <c r="J4" i="2"/>
  <c r="L20" i="2"/>
  <c r="K20" i="2"/>
  <c r="J3" i="2"/>
  <c r="J5" i="2" s="1"/>
  <c r="J10" i="2" s="1"/>
  <c r="J12" i="2" s="1"/>
  <c r="J14" i="2" s="1"/>
  <c r="J15" i="2" s="1"/>
  <c r="F8" i="2"/>
  <c r="T8" i="2" s="1"/>
  <c r="F7" i="2"/>
  <c r="F6" i="2"/>
  <c r="U9" i="2"/>
  <c r="U5" i="2"/>
  <c r="T3" i="2"/>
  <c r="J27" i="2"/>
  <c r="J29" i="2"/>
  <c r="J32" i="2" s="1"/>
  <c r="T36" i="2"/>
  <c r="S36" i="2"/>
  <c r="R36" i="2"/>
  <c r="R11" i="2"/>
  <c r="S11" i="2"/>
  <c r="R9" i="2"/>
  <c r="R5" i="2"/>
  <c r="R18" i="2" s="1"/>
  <c r="S9" i="2"/>
  <c r="S5" i="2"/>
  <c r="S18" i="2" s="1"/>
  <c r="S20" i="2"/>
  <c r="T16" i="2"/>
  <c r="R2" i="2"/>
  <c r="S2" i="2" s="1"/>
  <c r="T2" i="2" s="1"/>
  <c r="U2" i="2" s="1"/>
  <c r="V2" i="2" s="1"/>
  <c r="W2" i="2" s="1"/>
  <c r="X2" i="2" s="1"/>
  <c r="Y2" i="2" s="1"/>
  <c r="Z2" i="2" s="1"/>
  <c r="AA2" i="2" s="1"/>
  <c r="H20" i="2"/>
  <c r="G20" i="2"/>
  <c r="I20" i="2"/>
  <c r="F13" i="2"/>
  <c r="T13" i="2" s="1"/>
  <c r="T7" i="2"/>
  <c r="T6" i="2"/>
  <c r="F4" i="2"/>
  <c r="F3" i="2"/>
  <c r="C11" i="2"/>
  <c r="C9" i="2"/>
  <c r="C5" i="2"/>
  <c r="C18" i="2" s="1"/>
  <c r="G11" i="2"/>
  <c r="G9" i="2"/>
  <c r="G5" i="2"/>
  <c r="G18" i="2" s="1"/>
  <c r="D11" i="2"/>
  <c r="D9" i="2"/>
  <c r="D5" i="2"/>
  <c r="D18" i="2" s="1"/>
  <c r="H11" i="2"/>
  <c r="H9" i="2"/>
  <c r="H5" i="2"/>
  <c r="H18" i="2" s="1"/>
  <c r="E11" i="2"/>
  <c r="I11" i="2"/>
  <c r="J11" i="2" s="1"/>
  <c r="E9" i="2"/>
  <c r="I9" i="2"/>
  <c r="I5" i="2"/>
  <c r="E5" i="2"/>
  <c r="E18" i="2" s="1"/>
  <c r="J4" i="1"/>
  <c r="J5" i="1" s="1"/>
  <c r="J8" i="1" s="1"/>
  <c r="V3" i="2" l="1"/>
  <c r="K18" i="2"/>
  <c r="M20" i="2"/>
  <c r="N20" i="2"/>
  <c r="F11" i="2"/>
  <c r="L36" i="2"/>
  <c r="U10" i="2"/>
  <c r="U12" i="2" s="1"/>
  <c r="U14" i="2" s="1"/>
  <c r="U15" i="2" s="1"/>
  <c r="L10" i="2"/>
  <c r="L12" i="2" s="1"/>
  <c r="L14" i="2" s="1"/>
  <c r="L15" i="2" s="1"/>
  <c r="T9" i="2"/>
  <c r="T20" i="2"/>
  <c r="I10" i="2"/>
  <c r="I12" i="2" s="1"/>
  <c r="I14" i="2" s="1"/>
  <c r="I15" i="2" s="1"/>
  <c r="T11" i="2"/>
  <c r="R10" i="2"/>
  <c r="R12" i="2" s="1"/>
  <c r="R14" i="2" s="1"/>
  <c r="R15" i="2" s="1"/>
  <c r="F5" i="2"/>
  <c r="F18" i="2" s="1"/>
  <c r="S10" i="2"/>
  <c r="S12" i="2" s="1"/>
  <c r="S14" i="2" s="1"/>
  <c r="S15" i="2" s="1"/>
  <c r="T4" i="2"/>
  <c r="T5" i="2" s="1"/>
  <c r="J18" i="2"/>
  <c r="F9" i="2"/>
  <c r="C10" i="2"/>
  <c r="C12" i="2" s="1"/>
  <c r="C14" i="2" s="1"/>
  <c r="C15" i="2" s="1"/>
  <c r="G10" i="2"/>
  <c r="G12" i="2" s="1"/>
  <c r="G14" i="2" s="1"/>
  <c r="G15" i="2" s="1"/>
  <c r="D10" i="2"/>
  <c r="D12" i="2" s="1"/>
  <c r="D14" i="2" s="1"/>
  <c r="D15" i="2" s="1"/>
  <c r="H10" i="2"/>
  <c r="H12" i="2" s="1"/>
  <c r="H14" i="2" s="1"/>
  <c r="H15" i="2" s="1"/>
  <c r="I18" i="2"/>
  <c r="E10" i="2"/>
  <c r="E12" i="2" s="1"/>
  <c r="E14" i="2" s="1"/>
  <c r="E15" i="2" s="1"/>
  <c r="V5" i="2" l="1"/>
  <c r="V20" i="2"/>
  <c r="F10" i="2"/>
  <c r="F12" i="2" s="1"/>
  <c r="F14" i="2" s="1"/>
  <c r="F15" i="2" s="1"/>
  <c r="T18" i="2"/>
  <c r="T10" i="2"/>
  <c r="T12" i="2" s="1"/>
  <c r="T14" i="2" s="1"/>
  <c r="T15" i="2" s="1"/>
  <c r="J20" i="2"/>
  <c r="V18" i="2" l="1"/>
  <c r="V10" i="2"/>
  <c r="V12" i="2" s="1"/>
  <c r="V14" i="2" s="1"/>
  <c r="V15" i="2" s="1"/>
  <c r="V4" i="2"/>
  <c r="U18" i="2"/>
  <c r="U20" i="2"/>
</calcChain>
</file>

<file path=xl/sharedStrings.xml><?xml version="1.0" encoding="utf-8"?>
<sst xmlns="http://schemas.openxmlformats.org/spreadsheetml/2006/main" count="51" uniqueCount="46">
  <si>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</si>
  <si>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</si>
  <si>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</si>
  <si>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</si>
  <si>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</si>
  <si>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</si>
  <si>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</si>
  <si>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</si>
  <si>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</si>
  <si>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</si>
  <si>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</si>
  <si>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</si>
  <si>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</si>
  <si>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</si>
  <si>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</si>
  <si>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</si>
  <si>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</si>
  <si>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Operating Expenses</t>
  </si>
  <si>
    <t>R&amp;D</t>
  </si>
  <si>
    <t>S&amp;M</t>
  </si>
  <si>
    <t>G&amp;A</t>
  </si>
  <si>
    <t>Gross Profit</t>
  </si>
  <si>
    <t>COGS</t>
  </si>
  <si>
    <t>Gross Margin</t>
  </si>
  <si>
    <t>Interest Expense</t>
  </si>
  <si>
    <t>Pretax Income</t>
  </si>
  <si>
    <t>Taxes</t>
  </si>
  <si>
    <t>Net Income</t>
  </si>
  <si>
    <t>EPS</t>
  </si>
  <si>
    <t>Revenue y/y</t>
  </si>
  <si>
    <t>CFFO</t>
  </si>
  <si>
    <t>CX</t>
  </si>
  <si>
    <t>FCF</t>
  </si>
  <si>
    <t>Q125</t>
  </si>
  <si>
    <t>Q225</t>
  </si>
  <si>
    <t>Q325</t>
  </si>
  <si>
    <t>Q425</t>
  </si>
  <si>
    <t>Assets</t>
  </si>
  <si>
    <t>ONCA</t>
  </si>
  <si>
    <t>DTA</t>
  </si>
  <si>
    <t>Goodwill</t>
  </si>
  <si>
    <t>ROU</t>
  </si>
  <si>
    <t>PP&amp;E</t>
  </si>
  <si>
    <t>OCA</t>
  </si>
  <si>
    <t>AR</t>
  </si>
  <si>
    <t>Prepaids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</si>
</sst>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143C6E-03C8-44E6-9476-A2C6FABFE5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83081</xdr:colOff>
      <xdr:row>0</xdr:row>
      <xdr:rowOff>26276</xdr:rowOff>
    </xdr:from>
    <xdr:to>
      <xdr:col>10</xdr:col>
      <xdr:colOff>83081</xdr:colOff>
      <xdr:row>52</xdr:row>
      <xdr:rowOff>124247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F2E302-4A2E-0951-84E1-0E2EE0D50A9F}"/>
            </a:ext>
          </a:extLst>
        </xdr:cNvPr>
        <xdr:cNvCxnSpPr/>
      </xdr:nvCxnSpPr>
      <xdr:spPr>
        <a:xfrm>
          <a:off x="9375978" y="26276"/>
          <a:ext cx="0" cy="8304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43793</xdr:colOff>
      <xdr:row>0</xdr:row>
      <xdr:rowOff>56931</xdr:rowOff>
    </xdr:from>
    <xdr:to>
      <xdr:col>21</xdr:col>
      <xdr:colOff>43793</xdr:colOff>
      <xdr:row>27</xdr:row>
      <xdr:rowOff>140138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5A025B7-A35D-5D46-1EC1-56F8DA76A408}"/>
            </a:ext>
          </a:extLst>
        </xdr:cNvPr>
        <xdr:cNvCxnSpPr/>
      </xdr:nvCxnSpPr>
      <xdr:spPr>
        <a:xfrm>
          <a:off x="16032655" y="56931"/>
          <a:ext cx="0" cy="43486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BF50-5CE8-4AE6-BD50-BD2C7FD5D952}">
  <dimension ref="I3:K8"/>
  <sheetViews>
    <sheetView zoomScaleNormal="100" workbookViewId="0">
      <selection activeCell="K8" sqref="K8"/>
    </sheetView>
  </sheetViews>
  <sheetFormatPr defaultRowHeight="12.75" x14ac:dyDescent="0.2"/>
  <sheetData>
    <row r="3" spans="9:11" x14ac:dyDescent="0.2">
      <c r="I3" t="s">
        <v>0</v>
      </c>
      <c r="J3" s="1">
        <v>21</v>
      </c>
    </row>
    <row r="4" spans="9:11" x14ac:dyDescent="0.2">
      <c r="I4" t="s">
        <v>1</v>
      </c>
      <c r="J4" s="2">
        <f>24.889923+212.558038</f>
        <v>237.44796100000002</v>
      </c>
      <c r="K4" s="3" t="s">
        <v>6</v>
      </c>
    </row>
    <row r="5" spans="9:11" x14ac:dyDescent="0.2">
      <c r="I5" t="s">
        <v>2</v>
      </c>
      <c r="J5" s="2">
        <f>+J3*J4</f>
        <v>4986.4071810000005</v>
      </c>
    </row>
    <row r="6" spans="9:11" x14ac:dyDescent="0.2">
      <c r="I6" t="s">
        <v>3</v>
      </c>
      <c r="J6" s="2">
        <v>418.53800000000001</v>
      </c>
      <c r="K6" s="3" t="s">
        <v>6</v>
      </c>
    </row>
    <row r="7" spans="9:11" x14ac:dyDescent="0.2">
      <c r="I7" t="s">
        <v>4</v>
      </c>
      <c r="J7" s="2">
        <v>196.089</v>
      </c>
      <c r="K7" s="3" t="s">
        <v>6</v>
      </c>
    </row>
    <row r="8" spans="9:11" x14ac:dyDescent="0.2">
      <c r="I8" t="s">
        <v>5</v>
      </c>
      <c r="J8" s="2">
        <f>+J5-J6+J7</f>
        <v>4763.958181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B020-6E7A-48AC-B718-8A48DEB2DF34}">
  <dimension ref="A1:AA3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11" max="14" width="8.7109375" style="3"/>
  </cols>
  <sheetData>
    <row r="1" spans="1:27" x14ac:dyDescent="0.2">
      <c r="A1" t="s">
        <v>7</v>
      </c>
    </row>
    <row r="2" spans="1:27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K2" s="3" t="s">
        <v>33</v>
      </c>
      <c r="L2" s="3" t="s">
        <v>34</v>
      </c>
      <c r="M2" s="3" t="s">
        <v>35</v>
      </c>
      <c r="N2" s="3" t="s">
        <v>36</v>
      </c>
      <c r="Q2">
        <v>2020</v>
      </c>
      <c r="R2">
        <f t="shared" ref="R2:AA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</row>
    <row r="3" spans="1:27" s="8" customFormat="1" x14ac:dyDescent="0.2">
      <c r="B3" s="8" t="s">
        <v>8</v>
      </c>
      <c r="C3" s="9">
        <v>157.602</v>
      </c>
      <c r="D3" s="9">
        <v>171.81700000000001</v>
      </c>
      <c r="E3" s="9">
        <v>188.98400000000001</v>
      </c>
      <c r="F3" s="9">
        <f>728.723-E3-D3-C3</f>
        <v>210.31999999999991</v>
      </c>
      <c r="G3" s="9">
        <v>194.947</v>
      </c>
      <c r="H3" s="9">
        <v>227.839</v>
      </c>
      <c r="I3" s="9">
        <v>268.29500000000002</v>
      </c>
      <c r="J3" s="9">
        <f>+U3-I3-H3-G3</f>
        <v>314.67300000000006</v>
      </c>
      <c r="K3" s="9">
        <v>264.41899999999998</v>
      </c>
      <c r="L3" s="9">
        <v>308.44200000000001</v>
      </c>
      <c r="M3" s="9">
        <f>+I3*1.3</f>
        <v>348.78350000000006</v>
      </c>
      <c r="N3" s="9">
        <f>+J3*1.3</f>
        <v>409.07490000000007</v>
      </c>
      <c r="R3" s="8">
        <v>458.83800000000002</v>
      </c>
      <c r="S3" s="8">
        <v>590.96100000000001</v>
      </c>
      <c r="T3" s="8">
        <f>SUM(C3:F3)</f>
        <v>728.72299999999996</v>
      </c>
      <c r="U3" s="8">
        <v>1005.754</v>
      </c>
      <c r="V3" s="8">
        <f>SUM(K3:N3)</f>
        <v>1330.7194000000002</v>
      </c>
    </row>
    <row r="4" spans="1:27" s="4" customFormat="1" x14ac:dyDescent="0.2">
      <c r="B4" s="4" t="s">
        <v>22</v>
      </c>
      <c r="C4" s="5">
        <v>54.35</v>
      </c>
      <c r="D4" s="5">
        <v>62.036999999999999</v>
      </c>
      <c r="E4" s="5">
        <v>73.48</v>
      </c>
      <c r="F4" s="5">
        <f>274.482-E4-D4-C4</f>
        <v>84.615000000000009</v>
      </c>
      <c r="G4" s="5">
        <v>76.873000000000005</v>
      </c>
      <c r="H4" s="5">
        <v>91.081999999999994</v>
      </c>
      <c r="I4" s="5">
        <v>105.652</v>
      </c>
      <c r="J4" s="5">
        <f>+U4-I4-H4-G4</f>
        <v>125.94500000000004</v>
      </c>
      <c r="K4" s="5">
        <v>104.488</v>
      </c>
      <c r="L4" s="5">
        <v>116.988</v>
      </c>
      <c r="M4" s="5"/>
      <c r="N4" s="5"/>
      <c r="R4" s="4">
        <v>174.72</v>
      </c>
      <c r="S4" s="4">
        <v>215.46600000000001</v>
      </c>
      <c r="T4" s="4">
        <f>SUM(C4:F4)</f>
        <v>274.48200000000003</v>
      </c>
      <c r="U4" s="4">
        <v>399.55200000000002</v>
      </c>
      <c r="V4" s="4">
        <f>+V3-V5</f>
        <v>532.28776000000005</v>
      </c>
    </row>
    <row r="5" spans="1:27" s="4" customFormat="1" x14ac:dyDescent="0.2">
      <c r="B5" s="4" t="s">
        <v>21</v>
      </c>
      <c r="C5" s="5">
        <f t="shared" ref="C5:I5" si="1">+C3-C4</f>
        <v>103.25200000000001</v>
      </c>
      <c r="D5" s="5">
        <f t="shared" si="1"/>
        <v>109.78</v>
      </c>
      <c r="E5" s="5">
        <f t="shared" si="1"/>
        <v>115.504</v>
      </c>
      <c r="F5" s="5">
        <f t="shared" si="1"/>
        <v>125.7049999999999</v>
      </c>
      <c r="G5" s="5">
        <f t="shared" si="1"/>
        <v>118.074</v>
      </c>
      <c r="H5" s="5">
        <f t="shared" si="1"/>
        <v>136.75700000000001</v>
      </c>
      <c r="I5" s="5">
        <f t="shared" si="1"/>
        <v>162.64300000000003</v>
      </c>
      <c r="J5" s="5">
        <f>+J3-J4</f>
        <v>188.72800000000001</v>
      </c>
      <c r="K5" s="5">
        <f>+K3-K4</f>
        <v>159.93099999999998</v>
      </c>
      <c r="L5" s="5">
        <f>+L3-L4</f>
        <v>191.45400000000001</v>
      </c>
      <c r="M5" s="5"/>
      <c r="N5" s="5"/>
      <c r="R5" s="4">
        <f>+R3-R4</f>
        <v>284.11800000000005</v>
      </c>
      <c r="S5" s="4">
        <f>+S3-S4</f>
        <v>375.495</v>
      </c>
      <c r="T5" s="4">
        <f>+T3-T4</f>
        <v>454.24099999999993</v>
      </c>
      <c r="U5" s="4">
        <f>+U3-U4</f>
        <v>606.202</v>
      </c>
      <c r="V5" s="4">
        <f>+V3*0.6</f>
        <v>798.43164000000013</v>
      </c>
    </row>
    <row r="6" spans="1:27" s="4" customFormat="1" x14ac:dyDescent="0.2">
      <c r="B6" s="4" t="s">
        <v>20</v>
      </c>
      <c r="C6" s="5">
        <v>52.600999999999999</v>
      </c>
      <c r="D6" s="5">
        <v>50.715000000000003</v>
      </c>
      <c r="E6" s="5">
        <v>50.706000000000003</v>
      </c>
      <c r="F6" s="5">
        <f>205.419-E6-D6-C6</f>
        <v>51.39700000000002</v>
      </c>
      <c r="G6" s="5">
        <v>48.805999999999997</v>
      </c>
      <c r="H6" s="5">
        <v>51.158999999999999</v>
      </c>
      <c r="I6" s="5">
        <v>50.494</v>
      </c>
      <c r="J6" s="5">
        <f t="shared" ref="J6:J8" si="2">+U6-I6-H6-G6</f>
        <v>54.13600000000001</v>
      </c>
      <c r="K6" s="5">
        <v>54.036999999999999</v>
      </c>
      <c r="L6" s="5">
        <v>62.171999999999997</v>
      </c>
      <c r="M6" s="5"/>
      <c r="N6" s="5"/>
      <c r="R6" s="4">
        <v>189.60599999999999</v>
      </c>
      <c r="S6" s="4">
        <v>213.61500000000001</v>
      </c>
      <c r="T6" s="4">
        <f t="shared" ref="T6:T8" si="3">SUM(C6:F6)</f>
        <v>205.41900000000001</v>
      </c>
      <c r="U6" s="4">
        <v>204.595</v>
      </c>
      <c r="V6" s="4">
        <f>U6*1.2</f>
        <v>245.51399999999998</v>
      </c>
    </row>
    <row r="7" spans="1:27" s="4" customFormat="1" x14ac:dyDescent="0.2">
      <c r="B7" s="4" t="s">
        <v>19</v>
      </c>
      <c r="C7" s="5">
        <v>72.549000000000007</v>
      </c>
      <c r="D7" s="5">
        <v>72.495999999999995</v>
      </c>
      <c r="E7" s="5">
        <v>70.668999999999997</v>
      </c>
      <c r="F7" s="5">
        <f>288.441-E7-D7-C7</f>
        <v>72.727000000000004</v>
      </c>
      <c r="G7" s="5">
        <v>71.415000000000006</v>
      </c>
      <c r="H7" s="5">
        <v>75.603999999999999</v>
      </c>
      <c r="I7" s="5">
        <v>84.548000000000002</v>
      </c>
      <c r="J7" s="5">
        <f t="shared" si="2"/>
        <v>82.947000000000017</v>
      </c>
      <c r="K7" s="5">
        <v>75.369</v>
      </c>
      <c r="L7" s="5">
        <v>86.391999999999996</v>
      </c>
      <c r="M7" s="5"/>
      <c r="N7" s="5"/>
      <c r="R7" s="4">
        <v>229.34299999999999</v>
      </c>
      <c r="S7" s="4">
        <v>299.238</v>
      </c>
      <c r="T7" s="4">
        <f t="shared" si="3"/>
        <v>288.44100000000003</v>
      </c>
      <c r="U7" s="4">
        <v>314.51400000000001</v>
      </c>
      <c r="V7" s="4">
        <f>U7*1.2</f>
        <v>377.41680000000002</v>
      </c>
    </row>
    <row r="8" spans="1:27" s="4" customFormat="1" x14ac:dyDescent="0.2">
      <c r="B8" s="4" t="s">
        <v>18</v>
      </c>
      <c r="C8" s="5">
        <v>18.518999999999998</v>
      </c>
      <c r="D8" s="5">
        <v>17.343</v>
      </c>
      <c r="E8" s="5">
        <v>18.062000000000001</v>
      </c>
      <c r="F8" s="5">
        <f>73.869-E8-D8-C8</f>
        <v>19.945</v>
      </c>
      <c r="G8" s="5">
        <v>19.986000000000001</v>
      </c>
      <c r="H8" s="5">
        <v>23.614000000000001</v>
      </c>
      <c r="I8" s="5">
        <v>22.806999999999999</v>
      </c>
      <c r="J8" s="5">
        <f t="shared" si="2"/>
        <v>24.271999999999995</v>
      </c>
      <c r="K8" s="5">
        <v>26.798999999999999</v>
      </c>
      <c r="L8" s="5">
        <v>30.591999999999999</v>
      </c>
      <c r="M8" s="5"/>
      <c r="N8" s="5"/>
      <c r="R8" s="4">
        <v>64.474000000000004</v>
      </c>
      <c r="S8" s="4">
        <v>69.453999999999994</v>
      </c>
      <c r="T8" s="4">
        <f t="shared" si="3"/>
        <v>73.869</v>
      </c>
      <c r="U8" s="4">
        <v>90.679000000000002</v>
      </c>
      <c r="V8" s="4">
        <f>U8*1.2</f>
        <v>108.81480000000001</v>
      </c>
    </row>
    <row r="9" spans="1:27" s="4" customFormat="1" x14ac:dyDescent="0.2">
      <c r="B9" s="4" t="s">
        <v>17</v>
      </c>
      <c r="C9" s="5">
        <f t="shared" ref="C9:F9" si="4">SUM(C6:C8)</f>
        <v>143.66900000000001</v>
      </c>
      <c r="D9" s="5">
        <f t="shared" si="4"/>
        <v>140.554</v>
      </c>
      <c r="E9" s="5">
        <f t="shared" si="4"/>
        <v>139.43700000000001</v>
      </c>
      <c r="F9" s="5">
        <f t="shared" si="4"/>
        <v>144.06900000000002</v>
      </c>
      <c r="G9" s="5">
        <f t="shared" ref="G9:L9" si="5">SUM(G6:G8)</f>
        <v>140.20699999999999</v>
      </c>
      <c r="H9" s="5">
        <f t="shared" si="5"/>
        <v>150.37700000000001</v>
      </c>
      <c r="I9" s="5">
        <f t="shared" si="5"/>
        <v>157.84899999999999</v>
      </c>
      <c r="J9" s="5">
        <f t="shared" si="5"/>
        <v>161.35500000000002</v>
      </c>
      <c r="K9" s="5">
        <f t="shared" si="5"/>
        <v>156.20500000000001</v>
      </c>
      <c r="L9" s="5">
        <f t="shared" si="5"/>
        <v>179.15600000000001</v>
      </c>
      <c r="M9" s="5"/>
      <c r="N9" s="5"/>
      <c r="R9" s="5">
        <f>SUM(R6:R8)</f>
        <v>483.42299999999994</v>
      </c>
      <c r="S9" s="5">
        <f>SUM(S6:S8)</f>
        <v>582.30700000000002</v>
      </c>
      <c r="T9" s="5">
        <f>SUM(T6:T8)</f>
        <v>567.72900000000004</v>
      </c>
      <c r="U9" s="5">
        <f>SUM(U6:U8)</f>
        <v>609.78800000000001</v>
      </c>
      <c r="V9" s="5">
        <f t="shared" ref="V9" si="6">SUM(V6:V8)</f>
        <v>731.74559999999997</v>
      </c>
    </row>
    <row r="10" spans="1:27" s="4" customFormat="1" x14ac:dyDescent="0.2">
      <c r="B10" s="4" t="s">
        <v>16</v>
      </c>
      <c r="C10" s="5">
        <f t="shared" ref="C10:F10" si="7">C5-C9</f>
        <v>-40.417000000000002</v>
      </c>
      <c r="D10" s="5">
        <f t="shared" si="7"/>
        <v>-30.774000000000001</v>
      </c>
      <c r="E10" s="5">
        <f t="shared" si="7"/>
        <v>-23.933000000000007</v>
      </c>
      <c r="F10" s="5">
        <f t="shared" si="7"/>
        <v>-18.364000000000118</v>
      </c>
      <c r="G10" s="5">
        <f t="shared" ref="G10:L10" si="8">G5-G9</f>
        <v>-22.132999999999996</v>
      </c>
      <c r="H10" s="5">
        <f t="shared" si="8"/>
        <v>-13.620000000000005</v>
      </c>
      <c r="I10" s="5">
        <f t="shared" si="8"/>
        <v>4.7940000000000396</v>
      </c>
      <c r="J10" s="5">
        <f t="shared" si="8"/>
        <v>27.37299999999999</v>
      </c>
      <c r="K10" s="5">
        <f t="shared" si="8"/>
        <v>3.7259999999999707</v>
      </c>
      <c r="L10" s="5">
        <f t="shared" si="8"/>
        <v>12.298000000000002</v>
      </c>
      <c r="M10" s="5"/>
      <c r="N10" s="5"/>
      <c r="R10" s="5">
        <f>R5-R9</f>
        <v>-199.30499999999989</v>
      </c>
      <c r="S10" s="5">
        <f>S5-S9</f>
        <v>-206.81200000000001</v>
      </c>
      <c r="T10" s="5">
        <f>T5-T9</f>
        <v>-113.48800000000011</v>
      </c>
      <c r="U10" s="5">
        <f>U5-U9</f>
        <v>-3.5860000000000127</v>
      </c>
      <c r="V10" s="5">
        <f t="shared" ref="V10" si="9">V5-V9</f>
        <v>66.686040000000162</v>
      </c>
    </row>
    <row r="11" spans="1:27" s="4" customFormat="1" x14ac:dyDescent="0.2">
      <c r="B11" s="4" t="s">
        <v>24</v>
      </c>
      <c r="C11" s="5">
        <f>-2.448-1.864</f>
        <v>-4.3120000000000003</v>
      </c>
      <c r="D11" s="5">
        <f>-2.797-2.838</f>
        <v>-5.6349999999999998</v>
      </c>
      <c r="E11" s="5">
        <f>-2.894-2.436</f>
        <v>-5.33</v>
      </c>
      <c r="F11" s="5">
        <f>-10.939-7.82-E11-D11-C11</f>
        <v>-3.4820000000000002</v>
      </c>
      <c r="G11" s="5">
        <f>-2.625-0.671</f>
        <v>-3.2960000000000003</v>
      </c>
      <c r="H11" s="5">
        <f>-2.56+1.564</f>
        <v>-0.996</v>
      </c>
      <c r="I11" s="5">
        <f>-1.945-2.851</f>
        <v>-4.7960000000000003</v>
      </c>
      <c r="J11" s="5">
        <f t="shared" ref="J11:J13" si="10">+U11-I11-H11-G11</f>
        <v>1.9410000000000003</v>
      </c>
      <c r="K11" s="5">
        <v>-0.33100000000000002</v>
      </c>
      <c r="L11" s="5">
        <v>-0.16600000000000001</v>
      </c>
      <c r="M11" s="5"/>
      <c r="N11" s="5"/>
      <c r="R11" s="4">
        <f>-7.033+0.279</f>
        <v>-6.7540000000000004</v>
      </c>
      <c r="S11" s="4">
        <f>-7.303-13.983</f>
        <v>-21.286000000000001</v>
      </c>
      <c r="T11" s="4">
        <f t="shared" ref="T11:T13" si="11">SUM(C11:F11)</f>
        <v>-18.759</v>
      </c>
      <c r="U11" s="4">
        <v>-7.1470000000000002</v>
      </c>
      <c r="V11" s="4">
        <v>0</v>
      </c>
    </row>
    <row r="12" spans="1:27" s="4" customFormat="1" x14ac:dyDescent="0.2">
      <c r="B12" s="4" t="s">
        <v>25</v>
      </c>
      <c r="C12" s="5">
        <f t="shared" ref="C12:F12" si="12">+C10+C11</f>
        <v>-44.728999999999999</v>
      </c>
      <c r="D12" s="5">
        <f t="shared" si="12"/>
        <v>-36.408999999999999</v>
      </c>
      <c r="E12" s="5">
        <f t="shared" si="12"/>
        <v>-29.263000000000005</v>
      </c>
      <c r="F12" s="5">
        <f t="shared" si="12"/>
        <v>-21.846000000000117</v>
      </c>
      <c r="G12" s="5">
        <f t="shared" ref="G12:L12" si="13">+G10+G11</f>
        <v>-25.428999999999995</v>
      </c>
      <c r="H12" s="5">
        <f t="shared" si="13"/>
        <v>-14.616000000000005</v>
      </c>
      <c r="I12" s="5">
        <f t="shared" si="13"/>
        <v>-1.9999999999606999E-3</v>
      </c>
      <c r="J12" s="5">
        <f t="shared" si="13"/>
        <v>29.313999999999989</v>
      </c>
      <c r="K12" s="5">
        <f t="shared" si="13"/>
        <v>3.3949999999999707</v>
      </c>
      <c r="L12" s="5">
        <f t="shared" si="13"/>
        <v>12.132000000000001</v>
      </c>
      <c r="M12" s="5"/>
      <c r="N12" s="5"/>
      <c r="R12" s="5">
        <f>+R10+R11</f>
        <v>-206.05899999999988</v>
      </c>
      <c r="S12" s="5">
        <f>+S10+S11</f>
        <v>-228.09800000000001</v>
      </c>
      <c r="T12" s="5">
        <f>+T10+T11</f>
        <v>-132.24700000000013</v>
      </c>
      <c r="U12" s="5">
        <f>+U10+U11</f>
        <v>-10.733000000000013</v>
      </c>
      <c r="V12" s="5">
        <f t="shared" ref="V12" si="14">+V10+V11</f>
        <v>66.686040000000162</v>
      </c>
    </row>
    <row r="13" spans="1:27" s="4" customFormat="1" x14ac:dyDescent="0.2">
      <c r="B13" s="4" t="s">
        <v>26</v>
      </c>
      <c r="C13" s="5">
        <v>0.19800000000000001</v>
      </c>
      <c r="D13" s="5">
        <v>0.309</v>
      </c>
      <c r="E13" s="5">
        <v>0.59</v>
      </c>
      <c r="F13" s="5">
        <f>1.037-E13-D13-C13</f>
        <v>-6.0000000000000053E-2</v>
      </c>
      <c r="G13" s="5">
        <v>0.39600000000000002</v>
      </c>
      <c r="H13" s="5">
        <v>0.48599999999999999</v>
      </c>
      <c r="I13" s="5">
        <v>0.2</v>
      </c>
      <c r="J13" s="5">
        <f t="shared" si="10"/>
        <v>-1.0819999999999999</v>
      </c>
      <c r="K13" s="5">
        <v>0</v>
      </c>
      <c r="L13" s="5">
        <v>1.1919999999999999</v>
      </c>
      <c r="M13" s="5"/>
      <c r="N13" s="5"/>
      <c r="R13" s="4">
        <v>0</v>
      </c>
      <c r="S13" s="4">
        <v>0</v>
      </c>
      <c r="T13" s="4">
        <f t="shared" si="11"/>
        <v>1.0369999999999999</v>
      </c>
      <c r="U13" s="4">
        <v>0</v>
      </c>
      <c r="V13" s="4">
        <v>0</v>
      </c>
    </row>
    <row r="14" spans="1:27" x14ac:dyDescent="0.2">
      <c r="B14" s="4" t="s">
        <v>27</v>
      </c>
      <c r="C14" s="5">
        <f t="shared" ref="C14:F14" si="15">+C12-C13</f>
        <v>-44.927</v>
      </c>
      <c r="D14" s="5">
        <f t="shared" si="15"/>
        <v>-36.717999999999996</v>
      </c>
      <c r="E14" s="5">
        <f t="shared" si="15"/>
        <v>-29.853000000000005</v>
      </c>
      <c r="F14" s="5">
        <f t="shared" si="15"/>
        <v>-21.786000000000119</v>
      </c>
      <c r="G14" s="5">
        <f t="shared" ref="G14:L14" si="16">+G12-G13</f>
        <v>-25.824999999999996</v>
      </c>
      <c r="H14" s="5">
        <f t="shared" si="16"/>
        <v>-15.102000000000006</v>
      </c>
      <c r="I14" s="5">
        <f t="shared" si="16"/>
        <v>-0.20199999999996071</v>
      </c>
      <c r="J14" s="5">
        <f t="shared" si="16"/>
        <v>30.39599999999999</v>
      </c>
      <c r="K14" s="5">
        <f t="shared" si="16"/>
        <v>3.3949999999999707</v>
      </c>
      <c r="L14" s="5">
        <f t="shared" si="16"/>
        <v>10.940000000000001</v>
      </c>
      <c r="R14" s="5">
        <f>+R12-R13</f>
        <v>-206.05899999999988</v>
      </c>
      <c r="S14" s="5">
        <f>+S12-S13</f>
        <v>-228.09800000000001</v>
      </c>
      <c r="T14" s="5">
        <f>+T12-T13</f>
        <v>-133.28400000000013</v>
      </c>
      <c r="U14" s="5">
        <f>+U12-U13</f>
        <v>-10.733000000000013</v>
      </c>
      <c r="V14" s="5">
        <f t="shared" ref="V14" si="17">+V12-V13</f>
        <v>66.686040000000162</v>
      </c>
    </row>
    <row r="15" spans="1:27" x14ac:dyDescent="0.2">
      <c r="B15" s="4" t="s">
        <v>28</v>
      </c>
      <c r="C15" s="7">
        <f t="shared" ref="C15:L15" si="18">+C14/C16</f>
        <v>-0.29942183002207856</v>
      </c>
      <c r="D15" s="7">
        <f t="shared" si="18"/>
        <v>-0.23750706560557319</v>
      </c>
      <c r="E15" s="7">
        <f t="shared" si="18"/>
        <v>-0.18887634669300221</v>
      </c>
      <c r="F15" s="7">
        <f t="shared" si="18"/>
        <v>-0.13783740625912866</v>
      </c>
      <c r="G15" s="7">
        <f t="shared" si="18"/>
        <v>-0.15081669973080691</v>
      </c>
      <c r="H15" s="7">
        <f t="shared" si="18"/>
        <v>-8.4904592076837523E-2</v>
      </c>
      <c r="I15" s="7">
        <f t="shared" si="18"/>
        <v>-1.0750105708927228E-3</v>
      </c>
      <c r="J15" s="7">
        <f t="shared" si="18"/>
        <v>0.16176248174683935</v>
      </c>
      <c r="K15" s="7">
        <f t="shared" si="18"/>
        <v>1.5972107384312054E-2</v>
      </c>
      <c r="L15" s="7">
        <f t="shared" si="18"/>
        <v>5.0355838103053052E-2</v>
      </c>
      <c r="R15" s="7">
        <f>+R14/R16</f>
        <v>-2.3703417299122242</v>
      </c>
      <c r="S15" s="7">
        <f>+S14/S16</f>
        <v>-1.6411667812411626</v>
      </c>
      <c r="T15" s="7">
        <f>+T14/T16</f>
        <v>-0.85885102056798257</v>
      </c>
      <c r="U15" s="7">
        <f>+U14/U16</f>
        <v>-5.7709232111967573E-2</v>
      </c>
      <c r="V15" s="7">
        <f>+V14/V16</f>
        <v>0.31030336325769514</v>
      </c>
    </row>
    <row r="16" spans="1:27" s="4" customFormat="1" x14ac:dyDescent="0.2">
      <c r="B16" s="4" t="s">
        <v>1</v>
      </c>
      <c r="C16" s="5">
        <v>150.04584</v>
      </c>
      <c r="D16" s="5">
        <v>154.59750600000001</v>
      </c>
      <c r="E16" s="5">
        <v>158.055789</v>
      </c>
      <c r="F16" s="5">
        <v>158.055789</v>
      </c>
      <c r="G16" s="5">
        <v>171.234353</v>
      </c>
      <c r="H16" s="5">
        <v>177.870238</v>
      </c>
      <c r="I16" s="5">
        <v>187.90512899999999</v>
      </c>
      <c r="J16" s="5">
        <f>+I16</f>
        <v>187.90512899999999</v>
      </c>
      <c r="K16" s="5">
        <v>212.55805000000001</v>
      </c>
      <c r="L16" s="5">
        <v>217.25385600000001</v>
      </c>
      <c r="M16" s="5"/>
      <c r="N16" s="5"/>
      <c r="R16" s="4">
        <v>86.932191000000003</v>
      </c>
      <c r="S16" s="4">
        <v>138.985265</v>
      </c>
      <c r="T16" s="4">
        <f>AVERAGE(C16:F16)</f>
        <v>155.18873100000002</v>
      </c>
      <c r="U16" s="4">
        <v>185.98410699999999</v>
      </c>
      <c r="V16" s="4">
        <f>AVERAGE(K16:N16)</f>
        <v>214.90595300000001</v>
      </c>
    </row>
    <row r="17" spans="2:22" x14ac:dyDescent="0.2">
      <c r="I17" s="5"/>
    </row>
    <row r="18" spans="2:22" x14ac:dyDescent="0.2">
      <c r="B18" s="4" t="s">
        <v>23</v>
      </c>
      <c r="C18" s="6">
        <f t="shared" ref="C18:N18" si="19">+C5/C3</f>
        <v>0.65514397025418458</v>
      </c>
      <c r="D18" s="6">
        <f t="shared" si="19"/>
        <v>0.63893561172642988</v>
      </c>
      <c r="E18" s="6">
        <f t="shared" si="19"/>
        <v>0.61118401557803836</v>
      </c>
      <c r="F18" s="6">
        <f t="shared" si="19"/>
        <v>0.59768448079117509</v>
      </c>
      <c r="G18" s="6">
        <f t="shared" si="19"/>
        <v>0.60567231093579277</v>
      </c>
      <c r="H18" s="6">
        <f t="shared" si="19"/>
        <v>0.60023525384152843</v>
      </c>
      <c r="I18" s="6">
        <f t="shared" si="19"/>
        <v>0.60620958273542191</v>
      </c>
      <c r="J18" s="6">
        <f t="shared" si="19"/>
        <v>0.59975911501781209</v>
      </c>
      <c r="K18" s="6">
        <f t="shared" si="19"/>
        <v>0.60483928915849461</v>
      </c>
      <c r="L18" s="6">
        <f t="shared" si="19"/>
        <v>0.62071313245277882</v>
      </c>
      <c r="M18" s="6">
        <f t="shared" si="19"/>
        <v>0</v>
      </c>
      <c r="N18" s="6">
        <f t="shared" si="19"/>
        <v>0</v>
      </c>
      <c r="R18" s="6">
        <f>+R5/R3</f>
        <v>0.61921200946739385</v>
      </c>
      <c r="S18" s="6">
        <f>+S5/S3</f>
        <v>0.63539725971764638</v>
      </c>
      <c r="T18" s="6">
        <f>+T5/T3</f>
        <v>0.62333836039208312</v>
      </c>
      <c r="U18" s="6">
        <f>+U5/U3</f>
        <v>0.60273386931595596</v>
      </c>
      <c r="V18" s="6">
        <f>+V5/V3</f>
        <v>0.6</v>
      </c>
    </row>
    <row r="20" spans="2:22" x14ac:dyDescent="0.2">
      <c r="B20" s="4" t="s">
        <v>29</v>
      </c>
      <c r="G20" s="6">
        <f t="shared" ref="G20:H20" si="20">+G3/C3-1</f>
        <v>0.23695765282166459</v>
      </c>
      <c r="H20" s="6">
        <f t="shared" si="20"/>
        <v>0.3260562109686469</v>
      </c>
      <c r="I20" s="6">
        <f t="shared" ref="I20:N20" si="21">+I3/E3-1</f>
        <v>0.41967044829191891</v>
      </c>
      <c r="J20" s="6">
        <f t="shared" si="21"/>
        <v>0.49616298972993622</v>
      </c>
      <c r="K20" s="6">
        <f t="shared" si="21"/>
        <v>0.35636352444510555</v>
      </c>
      <c r="L20" s="6">
        <f t="shared" si="21"/>
        <v>0.35377174232681852</v>
      </c>
      <c r="M20" s="6">
        <f t="shared" si="21"/>
        <v>0.30000000000000004</v>
      </c>
      <c r="N20" s="6">
        <f t="shared" si="21"/>
        <v>0.30000000000000004</v>
      </c>
      <c r="S20" s="10">
        <f>+S3/R3-1</f>
        <v>0.28795130307428751</v>
      </c>
      <c r="T20" s="10">
        <f>+T3/S3-1</f>
        <v>0.23311521403273638</v>
      </c>
      <c r="U20" s="10">
        <f>+U3/T3-1</f>
        <v>0.3801595393585766</v>
      </c>
      <c r="V20" s="10">
        <f>+V3/U3-1</f>
        <v>0.32310624665673737</v>
      </c>
    </row>
    <row r="23" spans="2:22" x14ac:dyDescent="0.2">
      <c r="B23" t="s">
        <v>3</v>
      </c>
      <c r="J23" s="3">
        <v>366.15699999999998</v>
      </c>
    </row>
    <row r="24" spans="2:22" x14ac:dyDescent="0.2">
      <c r="B24" t="s">
        <v>44</v>
      </c>
      <c r="J24" s="3">
        <v>235.227</v>
      </c>
    </row>
    <row r="25" spans="2:22" x14ac:dyDescent="0.2">
      <c r="B25" t="s">
        <v>45</v>
      </c>
      <c r="J25" s="3">
        <v>13.348000000000001</v>
      </c>
    </row>
    <row r="26" spans="2:22" x14ac:dyDescent="0.2">
      <c r="B26" t="s">
        <v>43</v>
      </c>
      <c r="J26" s="3">
        <v>1.8080000000000001</v>
      </c>
    </row>
    <row r="27" spans="2:22" x14ac:dyDescent="0.2">
      <c r="B27" t="s">
        <v>42</v>
      </c>
      <c r="J27" s="3">
        <f>8.856+28.949</f>
        <v>37.805</v>
      </c>
    </row>
    <row r="28" spans="2:22" x14ac:dyDescent="0.2">
      <c r="B28" t="s">
        <v>41</v>
      </c>
      <c r="J28" s="3">
        <v>8.8059999999999992</v>
      </c>
    </row>
    <row r="29" spans="2:22" x14ac:dyDescent="0.2">
      <c r="B29" t="s">
        <v>40</v>
      </c>
      <c r="J29" s="3">
        <f>115.18+325.992</f>
        <v>441.17200000000003</v>
      </c>
    </row>
    <row r="30" spans="2:22" x14ac:dyDescent="0.2">
      <c r="B30" t="s">
        <v>39</v>
      </c>
      <c r="J30" s="3">
        <v>0.61899999999999999</v>
      </c>
    </row>
    <row r="31" spans="2:22" x14ac:dyDescent="0.2">
      <c r="B31" t="s">
        <v>38</v>
      </c>
      <c r="J31" s="3">
        <v>6.431</v>
      </c>
    </row>
    <row r="32" spans="2:22" x14ac:dyDescent="0.2">
      <c r="B32" t="s">
        <v>37</v>
      </c>
      <c r="J32" s="3">
        <f>SUM(J23:J31)</f>
        <v>1111.3729999999998</v>
      </c>
    </row>
    <row r="34" spans="2:20" s="2" customFormat="1" x14ac:dyDescent="0.2">
      <c r="B34" s="2" t="s">
        <v>30</v>
      </c>
      <c r="C34" s="11"/>
      <c r="D34" s="11"/>
      <c r="E34" s="11"/>
      <c r="F34" s="11"/>
      <c r="G34" s="11">
        <v>24.666</v>
      </c>
      <c r="H34" s="11">
        <f>55.776-G34</f>
        <v>31.110000000000003</v>
      </c>
      <c r="I34" s="11"/>
      <c r="J34" s="11"/>
      <c r="K34" s="11">
        <v>34.798999999999999</v>
      </c>
      <c r="L34" s="11">
        <f>76.848-K34</f>
        <v>42.048999999999999</v>
      </c>
      <c r="M34" s="11"/>
      <c r="N34" s="11"/>
      <c r="R34" s="2">
        <v>44.292000000000002</v>
      </c>
      <c r="S34" s="2">
        <v>78.486000000000004</v>
      </c>
      <c r="T34" s="2">
        <v>90.522999999999996</v>
      </c>
    </row>
    <row r="35" spans="2:20" s="2" customFormat="1" x14ac:dyDescent="0.2">
      <c r="B35" s="2" t="s">
        <v>31</v>
      </c>
      <c r="C35" s="11"/>
      <c r="D35" s="11"/>
      <c r="E35" s="11"/>
      <c r="F35" s="11"/>
      <c r="G35" s="11">
        <f>5.811+3.643</f>
        <v>9.4540000000000006</v>
      </c>
      <c r="H35" s="11">
        <f>12.56+8.212</f>
        <v>20.771999999999998</v>
      </c>
      <c r="I35" s="11"/>
      <c r="J35" s="11"/>
      <c r="K35" s="11">
        <f>2.736+4.155</f>
        <v>6.891</v>
      </c>
      <c r="L35" s="11">
        <f>5.085+9.953</f>
        <v>15.038</v>
      </c>
      <c r="M35" s="11"/>
      <c r="N35" s="11"/>
      <c r="R35" s="2">
        <v>-9.4819999999999993</v>
      </c>
      <c r="S35" s="2">
        <v>-22.231999999999999</v>
      </c>
      <c r="T35" s="2">
        <v>-20.483000000000001</v>
      </c>
    </row>
    <row r="36" spans="2:20" s="2" customFormat="1" x14ac:dyDescent="0.2">
      <c r="B36" s="2" t="s">
        <v>32</v>
      </c>
      <c r="C36" s="11"/>
      <c r="D36" s="11"/>
      <c r="E36" s="11"/>
      <c r="F36" s="11"/>
      <c r="G36" s="11">
        <f>+G34-G35</f>
        <v>15.212</v>
      </c>
      <c r="H36" s="11">
        <f>+H34-H35</f>
        <v>10.338000000000005</v>
      </c>
      <c r="I36" s="11"/>
      <c r="J36" s="11"/>
      <c r="K36" s="11">
        <f>+K34-K35</f>
        <v>27.908000000000001</v>
      </c>
      <c r="L36" s="11">
        <f>+L34-L35</f>
        <v>27.010999999999999</v>
      </c>
      <c r="M36" s="11"/>
      <c r="N36" s="11"/>
      <c r="R36" s="2">
        <f>+R34+R35</f>
        <v>34.81</v>
      </c>
      <c r="S36" s="2">
        <f>+S34+S35</f>
        <v>56.254000000000005</v>
      </c>
      <c r="T36" s="2">
        <f>+T34+T35</f>
        <v>70.039999999999992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2025-01-02T20:29:48Z</dcterms:created>
  <dcterms:modified xsi:type="dcterms:W3CDTF">2025-10-16T08:29:24Z</dcterms:modified>
</cp:coreProperties>
</file>