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6532/Shared Documents/030. Planning/2024/060. Budget booklet/910. Sent to HQ/020. After review/"/>
    </mc:Choice>
  </mc:AlternateContent>
  <xr:revisionPtr revIDLastSave="2103" documentId="8_{91C77025-ADA2-406A-8E81-80D43595FEE9}" xr6:coauthVersionLast="47" xr6:coauthVersionMax="47" xr10:uidLastSave="{B9E1AE08-0A3F-44B8-AD7A-D2B7E2DD5A36}"/>
  <bookViews>
    <workbookView xWindow="-120" yWindow="-120" windowWidth="29040" windowHeight="17520" tabRatio="820" firstSheet="17" activeTab="26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Race_2024!$B$1:$L$429</definedName>
    <definedName name="SAPCrosstab3">Race_2024_Seasonal!$B$1:$R$216</definedName>
    <definedName name="SAPCrosstab4">#REF!</definedName>
    <definedName name="SAPCrosstab5">#REF!</definedName>
    <definedName name="SAPCrosstab6">#REF!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8" l="1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8" i="46"/>
  <c r="A426" i="40"/>
  <c r="A427" i="40"/>
  <c r="A428" i="40"/>
  <c r="A429" i="40"/>
  <c r="H8" i="32"/>
  <c r="S10" i="20"/>
  <c r="S10" i="21"/>
  <c r="H14" i="32"/>
  <c r="S16" i="20"/>
  <c r="S16" i="21"/>
  <c r="H17" i="32"/>
  <c r="S18" i="20"/>
  <c r="S18" i="21"/>
  <c r="S20" i="21"/>
  <c r="H51" i="32"/>
  <c r="G51" i="32"/>
  <c r="F51" i="32"/>
  <c r="E51" i="32"/>
  <c r="D51" i="32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A213" i="43"/>
  <c r="A214" i="43"/>
  <c r="A215" i="43"/>
  <c r="A216" i="43"/>
  <c r="D8" i="33"/>
  <c r="E8" i="33"/>
  <c r="G10" i="20"/>
  <c r="F46" i="16"/>
  <c r="E7" i="10"/>
  <c r="I17" i="30"/>
  <c r="M37" i="8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I142" i="30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D9" i="8"/>
  <c r="E8" i="25"/>
  <c r="E14" i="25"/>
  <c r="C14" i="25"/>
  <c r="AQ56" i="29"/>
  <c r="AO56" i="29"/>
  <c r="A56" i="29"/>
  <c r="E56" i="29"/>
  <c r="AO49" i="29"/>
  <c r="A49" i="29"/>
  <c r="E49" i="29"/>
  <c r="N29" i="8"/>
  <c r="N21" i="8"/>
  <c r="E29" i="8"/>
  <c r="E21" i="8"/>
  <c r="Y231" i="29"/>
  <c r="AH232" i="29"/>
  <c r="W232" i="29"/>
  <c r="AH213" i="29"/>
  <c r="AA214" i="29"/>
  <c r="AB214" i="29"/>
  <c r="AC214" i="29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D57" i="33"/>
  <c r="E57" i="33"/>
  <c r="F57" i="33"/>
  <c r="G57" i="33"/>
  <c r="H57" i="33"/>
  <c r="I57" i="33"/>
  <c r="J57" i="33"/>
  <c r="K57" i="33"/>
  <c r="L57" i="33"/>
  <c r="M57" i="33"/>
  <c r="N57" i="33"/>
  <c r="O57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Q60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Q59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Q56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Q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Q52" i="33"/>
  <c r="O51" i="33"/>
  <c r="N51" i="33"/>
  <c r="M51" i="33"/>
  <c r="L51" i="33"/>
  <c r="K51" i="33"/>
  <c r="J51" i="33"/>
  <c r="I51" i="33"/>
  <c r="H51" i="33"/>
  <c r="G51" i="33"/>
  <c r="D51" i="33"/>
  <c r="E51" i="33"/>
  <c r="F51" i="33"/>
  <c r="Q51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L232" i="29"/>
  <c r="A232" i="29"/>
  <c r="E232" i="29"/>
  <c r="AO214" i="29"/>
  <c r="AQ214" i="29"/>
  <c r="O214" i="29"/>
  <c r="A214" i="29"/>
  <c r="E214" i="29"/>
  <c r="AO185" i="29"/>
  <c r="AO186" i="29"/>
  <c r="AO187" i="29"/>
  <c r="AO188" i="29"/>
  <c r="AO189" i="29"/>
  <c r="AO190" i="29"/>
  <c r="AO191" i="29"/>
  <c r="AO192" i="29"/>
  <c r="AO193" i="29"/>
  <c r="AO194" i="29"/>
  <c r="AO195" i="29"/>
  <c r="AO196" i="29"/>
  <c r="H50" i="32"/>
  <c r="H52" i="32"/>
  <c r="H53" i="32"/>
  <c r="H54" i="32"/>
  <c r="H55" i="32"/>
  <c r="H56" i="32"/>
  <c r="H57" i="32"/>
  <c r="H58" i="32"/>
  <c r="Q57" i="33"/>
  <c r="S57" i="33"/>
  <c r="H59" i="32"/>
  <c r="H60" i="32"/>
  <c r="H61" i="32"/>
  <c r="S60" i="33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0" i="32"/>
  <c r="F52" i="32"/>
  <c r="F53" i="32"/>
  <c r="F54" i="32"/>
  <c r="F55" i="32"/>
  <c r="F56" i="32"/>
  <c r="F57" i="32"/>
  <c r="F58" i="32"/>
  <c r="F59" i="32"/>
  <c r="F60" i="32"/>
  <c r="F61" i="32"/>
  <c r="F49" i="32"/>
  <c r="E50" i="32"/>
  <c r="E52" i="32"/>
  <c r="E53" i="32"/>
  <c r="E54" i="32"/>
  <c r="E55" i="32"/>
  <c r="E56" i="32"/>
  <c r="E57" i="32"/>
  <c r="E58" i="32"/>
  <c r="E59" i="32"/>
  <c r="E60" i="32"/>
  <c r="E61" i="32"/>
  <c r="D50" i="32"/>
  <c r="D52" i="32"/>
  <c r="D53" i="32"/>
  <c r="D54" i="32"/>
  <c r="D55" i="32"/>
  <c r="D56" i="32"/>
  <c r="D57" i="32"/>
  <c r="D58" i="32"/>
  <c r="D59" i="32"/>
  <c r="D60" i="32"/>
  <c r="D61" i="32"/>
  <c r="D49" i="32"/>
  <c r="C22" i="20"/>
  <c r="D8" i="30"/>
  <c r="C8" i="20"/>
  <c r="C23" i="20"/>
  <c r="F33" i="32"/>
  <c r="B8" i="12"/>
  <c r="B8" i="13"/>
  <c r="F34" i="32"/>
  <c r="B9" i="12"/>
  <c r="F35" i="32"/>
  <c r="B10" i="12"/>
  <c r="F36" i="32"/>
  <c r="B11" i="12"/>
  <c r="F37" i="32"/>
  <c r="B12" i="12"/>
  <c r="B12" i="13"/>
  <c r="K113" i="29"/>
  <c r="F38" i="32"/>
  <c r="B13" i="12"/>
  <c r="B13" i="13"/>
  <c r="F39" i="32"/>
  <c r="B14" i="12"/>
  <c r="B14" i="13"/>
  <c r="F41" i="32"/>
  <c r="B16" i="12"/>
  <c r="B16" i="13"/>
  <c r="K117" i="29"/>
  <c r="F42" i="32"/>
  <c r="F43" i="32"/>
  <c r="B18" i="12"/>
  <c r="F44" i="32"/>
  <c r="B19" i="12"/>
  <c r="B19" i="13"/>
  <c r="F45" i="32"/>
  <c r="B20" i="12"/>
  <c r="F55" i="30"/>
  <c r="F56" i="30"/>
  <c r="F57" i="30"/>
  <c r="F59" i="30"/>
  <c r="S33" i="11"/>
  <c r="S36" i="11"/>
  <c r="S9" i="11"/>
  <c r="H8" i="30"/>
  <c r="E82" i="10"/>
  <c r="E38" i="10"/>
  <c r="E41" i="10"/>
  <c r="D8" i="31"/>
  <c r="F82" i="10"/>
  <c r="F38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M8" i="31"/>
  <c r="O82" i="10"/>
  <c r="O38" i="10"/>
  <c r="N8" i="31"/>
  <c r="P82" i="10"/>
  <c r="P38" i="10"/>
  <c r="O8" i="31"/>
  <c r="Q82" i="10"/>
  <c r="Q38" i="10"/>
  <c r="Q41" i="10"/>
  <c r="I8" i="30"/>
  <c r="R82" i="10"/>
  <c r="Q18" i="18"/>
  <c r="S61" i="33"/>
  <c r="S47" i="33"/>
  <c r="S48" i="33"/>
  <c r="D17" i="33"/>
  <c r="E17" i="33"/>
  <c r="D14" i="33"/>
  <c r="E14" i="33"/>
  <c r="D12" i="33"/>
  <c r="E12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Q11" i="33"/>
  <c r="H11" i="32"/>
  <c r="D10" i="33"/>
  <c r="F12" i="20"/>
  <c r="D9" i="33"/>
  <c r="E9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H37" i="32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H34" i="32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I133" i="30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I128" i="30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I126" i="30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I122" i="30"/>
  <c r="S122" i="31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I119" i="30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I115" i="30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I112" i="30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I111" i="30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Q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I106" i="30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I101" i="30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O98" i="31"/>
  <c r="N98" i="31"/>
  <c r="M98" i="31"/>
  <c r="L98" i="31"/>
  <c r="D98" i="31"/>
  <c r="E98" i="31"/>
  <c r="F98" i="31"/>
  <c r="G98" i="31"/>
  <c r="H98" i="31"/>
  <c r="I98" i="31"/>
  <c r="J98" i="31"/>
  <c r="K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I94" i="30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I89" i="30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I88" i="30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I86" i="30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O84" i="31"/>
  <c r="N84" i="31"/>
  <c r="M84" i="31"/>
  <c r="L84" i="31"/>
  <c r="K84" i="31"/>
  <c r="D84" i="31"/>
  <c r="E84" i="31"/>
  <c r="F84" i="31"/>
  <c r="G84" i="31"/>
  <c r="H84" i="31"/>
  <c r="I84" i="31"/>
  <c r="J84" i="31"/>
  <c r="Q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I83" i="30"/>
  <c r="S83" i="31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I82" i="30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I78" i="30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Q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I72" i="30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O69" i="31"/>
  <c r="D69" i="31"/>
  <c r="E69" i="31"/>
  <c r="F69" i="31"/>
  <c r="G69" i="31"/>
  <c r="H69" i="31"/>
  <c r="I69" i="31"/>
  <c r="J69" i="31"/>
  <c r="K69" i="31"/>
  <c r="L69" i="31"/>
  <c r="M69" i="31"/>
  <c r="N69" i="31"/>
  <c r="Q69" i="31"/>
  <c r="I69" i="30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J66" i="31"/>
  <c r="I66" i="31"/>
  <c r="H66" i="31"/>
  <c r="G66" i="31"/>
  <c r="D66" i="31"/>
  <c r="E66" i="31"/>
  <c r="F66" i="31"/>
  <c r="I66" i="30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I65" i="30"/>
  <c r="S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I64" i="30"/>
  <c r="O63" i="31"/>
  <c r="N63" i="31"/>
  <c r="M63" i="31"/>
  <c r="L63" i="31"/>
  <c r="K63" i="31"/>
  <c r="J63" i="31"/>
  <c r="I63" i="31"/>
  <c r="H63" i="31"/>
  <c r="G63" i="31"/>
  <c r="D63" i="31"/>
  <c r="E63" i="31"/>
  <c r="F63" i="31"/>
  <c r="Q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I62" i="30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I59" i="30"/>
  <c r="S59" i="31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Q56" i="31"/>
  <c r="I56" i="30"/>
  <c r="S56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I58" i="30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42" i="12"/>
  <c r="F7" i="12"/>
  <c r="E55" i="31"/>
  <c r="D55" i="31"/>
  <c r="I55" i="30"/>
  <c r="O54" i="31"/>
  <c r="D54" i="31"/>
  <c r="E54" i="31"/>
  <c r="F54" i="31"/>
  <c r="G54" i="31"/>
  <c r="H54" i="31"/>
  <c r="I54" i="31"/>
  <c r="J54" i="31"/>
  <c r="K54" i="31"/>
  <c r="L54" i="31"/>
  <c r="M54" i="31"/>
  <c r="N54" i="31"/>
  <c r="Q54" i="31"/>
  <c r="I54" i="30"/>
  <c r="S54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I53" i="30"/>
  <c r="F8" i="6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I49" i="30"/>
  <c r="S49" i="31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I48" i="30"/>
  <c r="S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69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J46" i="31"/>
  <c r="L81" i="10"/>
  <c r="L66" i="10"/>
  <c r="L69" i="10"/>
  <c r="I46" i="30"/>
  <c r="M33" i="8"/>
  <c r="H46" i="30"/>
  <c r="C33" i="8"/>
  <c r="E33" i="8"/>
  <c r="O45" i="31"/>
  <c r="N45" i="31"/>
  <c r="M45" i="31"/>
  <c r="L45" i="31"/>
  <c r="D45" i="31"/>
  <c r="E45" i="31"/>
  <c r="F45" i="31"/>
  <c r="G45" i="31"/>
  <c r="H45" i="31"/>
  <c r="I45" i="31"/>
  <c r="J45" i="31"/>
  <c r="K45" i="31"/>
  <c r="Q45" i="31"/>
  <c r="I45" i="30"/>
  <c r="S45" i="31"/>
  <c r="M12" i="8"/>
  <c r="O44" i="31"/>
  <c r="Q80" i="10"/>
  <c r="Q37" i="10"/>
  <c r="Q39" i="10"/>
  <c r="N44" i="31"/>
  <c r="M44" i="31"/>
  <c r="O80" i="10"/>
  <c r="O37" i="10"/>
  <c r="O37" i="11"/>
  <c r="L44" i="31"/>
  <c r="N80" i="10"/>
  <c r="N37" i="10"/>
  <c r="N39" i="10"/>
  <c r="K44" i="31"/>
  <c r="M80" i="10"/>
  <c r="M37" i="10"/>
  <c r="M40" i="10"/>
  <c r="J44" i="31"/>
  <c r="L80" i="10"/>
  <c r="L37" i="10"/>
  <c r="L40" i="10"/>
  <c r="I44" i="31"/>
  <c r="K80" i="10"/>
  <c r="K37" i="10"/>
  <c r="K39" i="10"/>
  <c r="H44" i="31"/>
  <c r="J80" i="10"/>
  <c r="J37" i="10"/>
  <c r="J40" i="10"/>
  <c r="G44" i="31"/>
  <c r="F44" i="31"/>
  <c r="H80" i="10"/>
  <c r="H37" i="10"/>
  <c r="H37" i="11"/>
  <c r="E44" i="31"/>
  <c r="D44" i="31"/>
  <c r="F80" i="10"/>
  <c r="F37" i="10"/>
  <c r="F37" i="11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I37" i="30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I36" i="30"/>
  <c r="S36" i="31"/>
  <c r="O35" i="31"/>
  <c r="N35" i="31"/>
  <c r="M35" i="31"/>
  <c r="L35" i="31"/>
  <c r="K35" i="31"/>
  <c r="J35" i="31"/>
  <c r="D35" i="31"/>
  <c r="E35" i="31"/>
  <c r="F35" i="31"/>
  <c r="G35" i="31"/>
  <c r="H35" i="31"/>
  <c r="I35" i="31"/>
  <c r="Q35" i="31"/>
  <c r="I35" i="30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Q31" i="31"/>
  <c r="I31" i="30"/>
  <c r="S31" i="31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O28" i="31"/>
  <c r="N28" i="31"/>
  <c r="M28" i="31"/>
  <c r="L28" i="31"/>
  <c r="K28" i="31"/>
  <c r="J28" i="31"/>
  <c r="I28" i="31"/>
  <c r="D28" i="31"/>
  <c r="E28" i="31"/>
  <c r="F28" i="31"/>
  <c r="G28" i="31"/>
  <c r="H28" i="31"/>
  <c r="Q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Q27" i="31"/>
  <c r="I27" i="30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I25" i="30"/>
  <c r="S25" i="31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I23" i="30"/>
  <c r="S23" i="31"/>
  <c r="O21" i="31"/>
  <c r="D21" i="31"/>
  <c r="E21" i="31"/>
  <c r="F21" i="31"/>
  <c r="G21" i="31"/>
  <c r="H21" i="31"/>
  <c r="I21" i="31"/>
  <c r="J21" i="31"/>
  <c r="K21" i="31"/>
  <c r="L21" i="31"/>
  <c r="M21" i="31"/>
  <c r="N21" i="31"/>
  <c r="Q21" i="31"/>
  <c r="I21" i="30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I19" i="30"/>
  <c r="S19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I18" i="30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Q16" i="31"/>
  <c r="I16" i="30"/>
  <c r="S16" i="31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O11" i="31"/>
  <c r="N11" i="31"/>
  <c r="M11" i="31"/>
  <c r="L11" i="31"/>
  <c r="D11" i="31"/>
  <c r="E11" i="31"/>
  <c r="F11" i="31"/>
  <c r="G11" i="31"/>
  <c r="H11" i="31"/>
  <c r="I11" i="31"/>
  <c r="J11" i="31"/>
  <c r="K11" i="31"/>
  <c r="Q11" i="31"/>
  <c r="I11" i="30"/>
  <c r="S11" i="31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I10" i="30"/>
  <c r="S10" i="31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D45" i="32"/>
  <c r="E27" i="32"/>
  <c r="H28" i="32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21" i="32"/>
  <c r="D30" i="32"/>
  <c r="D17" i="32"/>
  <c r="C18" i="20"/>
  <c r="D14" i="32"/>
  <c r="C16" i="20"/>
  <c r="D12" i="32"/>
  <c r="D11" i="32"/>
  <c r="D10" i="32"/>
  <c r="D9" i="32"/>
  <c r="E33" i="32"/>
  <c r="E28" i="32"/>
  <c r="E26" i="32"/>
  <c r="E24" i="32"/>
  <c r="E23" i="32"/>
  <c r="E22" i="32"/>
  <c r="E21" i="32"/>
  <c r="E30" i="32"/>
  <c r="E17" i="32"/>
  <c r="D18" i="20"/>
  <c r="E8" i="32"/>
  <c r="E14" i="32"/>
  <c r="E12" i="32"/>
  <c r="D13" i="20"/>
  <c r="D13" i="21"/>
  <c r="J249" i="29"/>
  <c r="E11" i="32"/>
  <c r="E10" i="32"/>
  <c r="D12" i="20"/>
  <c r="E9" i="32"/>
  <c r="D11" i="20"/>
  <c r="F27" i="32"/>
  <c r="F26" i="32"/>
  <c r="F24" i="32"/>
  <c r="F23" i="32"/>
  <c r="F22" i="32"/>
  <c r="F17" i="32"/>
  <c r="F14" i="32"/>
  <c r="F12" i="32"/>
  <c r="F11" i="32"/>
  <c r="F10" i="32"/>
  <c r="F9" i="32"/>
  <c r="C51" i="16"/>
  <c r="G26" i="32"/>
  <c r="G25" i="32"/>
  <c r="G24" i="32"/>
  <c r="G23" i="32"/>
  <c r="G22" i="32"/>
  <c r="G17" i="32"/>
  <c r="E18" i="20"/>
  <c r="G14" i="32"/>
  <c r="G12" i="32"/>
  <c r="G11" i="32"/>
  <c r="G10" i="32"/>
  <c r="G9" i="32"/>
  <c r="D51" i="16"/>
  <c r="E11" i="20"/>
  <c r="H29" i="32"/>
  <c r="H27" i="32"/>
  <c r="Q27" i="33"/>
  <c r="S27" i="33"/>
  <c r="H26" i="32"/>
  <c r="Q26" i="33"/>
  <c r="S26" i="33"/>
  <c r="H24" i="32"/>
  <c r="H23" i="32"/>
  <c r="Q25" i="19"/>
  <c r="H22" i="32"/>
  <c r="H21" i="32"/>
  <c r="H19" i="32"/>
  <c r="F8" i="33"/>
  <c r="G8" i="33"/>
  <c r="H8" i="33"/>
  <c r="I8" i="33"/>
  <c r="J8" i="33"/>
  <c r="K8" i="33"/>
  <c r="L8" i="33"/>
  <c r="M8" i="33"/>
  <c r="N8" i="33"/>
  <c r="O8" i="33"/>
  <c r="F14" i="33"/>
  <c r="G14" i="33"/>
  <c r="H14" i="33"/>
  <c r="I14" i="33"/>
  <c r="J14" i="33"/>
  <c r="K14" i="33"/>
  <c r="L14" i="33"/>
  <c r="M14" i="33"/>
  <c r="N14" i="33"/>
  <c r="O14" i="33"/>
  <c r="F17" i="33"/>
  <c r="G17" i="33"/>
  <c r="H17" i="33"/>
  <c r="I17" i="33"/>
  <c r="J17" i="33"/>
  <c r="K17" i="33"/>
  <c r="L17" i="33"/>
  <c r="M17" i="33"/>
  <c r="N17" i="33"/>
  <c r="O17" i="33"/>
  <c r="O19" i="33"/>
  <c r="Q19" i="33"/>
  <c r="S19" i="33"/>
  <c r="H12" i="32"/>
  <c r="S13" i="20"/>
  <c r="H10" i="32"/>
  <c r="H9" i="32"/>
  <c r="G8" i="32"/>
  <c r="G19" i="32"/>
  <c r="F8" i="32"/>
  <c r="D8" i="32"/>
  <c r="I147" i="30"/>
  <c r="F20" i="6"/>
  <c r="I143" i="30"/>
  <c r="I140" i="30"/>
  <c r="I138" i="30"/>
  <c r="I137" i="30"/>
  <c r="I135" i="30"/>
  <c r="F19" i="6"/>
  <c r="I130" i="30"/>
  <c r="I127" i="30"/>
  <c r="I68" i="30"/>
  <c r="I57" i="30"/>
  <c r="I52" i="30"/>
  <c r="I50" i="30"/>
  <c r="I44" i="30"/>
  <c r="I42" i="30"/>
  <c r="I20" i="30"/>
  <c r="I13" i="30"/>
  <c r="H147" i="30"/>
  <c r="D20" i="6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D17" i="6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H82" i="30"/>
  <c r="H81" i="30"/>
  <c r="H80" i="30"/>
  <c r="H65" i="30"/>
  <c r="D16" i="6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C32" i="12"/>
  <c r="H64" i="30"/>
  <c r="D14" i="6"/>
  <c r="H63" i="30"/>
  <c r="H62" i="30"/>
  <c r="H61" i="30"/>
  <c r="H60" i="30"/>
  <c r="D13" i="6"/>
  <c r="H58" i="30"/>
  <c r="H57" i="30"/>
  <c r="H56" i="30"/>
  <c r="H55" i="30"/>
  <c r="H59" i="30"/>
  <c r="D10" i="6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C31" i="8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H25" i="30"/>
  <c r="H22" i="30"/>
  <c r="H21" i="30"/>
  <c r="H20" i="30"/>
  <c r="H19" i="30"/>
  <c r="H18" i="30"/>
  <c r="H17" i="30"/>
  <c r="C37" i="8"/>
  <c r="H16" i="30"/>
  <c r="H15" i="30"/>
  <c r="H14" i="30"/>
  <c r="H13" i="30"/>
  <c r="E9" i="20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F144" i="30"/>
  <c r="F143" i="30"/>
  <c r="F140" i="30"/>
  <c r="F138" i="30"/>
  <c r="F137" i="30"/>
  <c r="C18" i="6"/>
  <c r="F135" i="30"/>
  <c r="C19" i="6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F83" i="30"/>
  <c r="B30" i="12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C14" i="6"/>
  <c r="F63" i="30"/>
  <c r="F62" i="30"/>
  <c r="F61" i="30"/>
  <c r="F60" i="30"/>
  <c r="C13" i="6"/>
  <c r="F58" i="30"/>
  <c r="F54" i="30"/>
  <c r="F53" i="30"/>
  <c r="C8" i="6"/>
  <c r="F52" i="30"/>
  <c r="F51" i="30"/>
  <c r="F50" i="30"/>
  <c r="F49" i="30"/>
  <c r="B32" i="8"/>
  <c r="F48" i="30"/>
  <c r="F47" i="30"/>
  <c r="F46" i="30"/>
  <c r="C81" i="10"/>
  <c r="C66" i="10"/>
  <c r="B33" i="8"/>
  <c r="F45" i="30"/>
  <c r="B12" i="8"/>
  <c r="F44" i="30"/>
  <c r="B31" i="8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B8" i="8"/>
  <c r="F25" i="30"/>
  <c r="F21" i="30"/>
  <c r="F20" i="30"/>
  <c r="F19" i="30"/>
  <c r="F18" i="30"/>
  <c r="F17" i="30"/>
  <c r="B37" i="8"/>
  <c r="F16" i="30"/>
  <c r="F15" i="30"/>
  <c r="F14" i="30"/>
  <c r="F13" i="30"/>
  <c r="F12" i="30"/>
  <c r="F11" i="30"/>
  <c r="F9" i="30"/>
  <c r="E147" i="30"/>
  <c r="B20" i="6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E8" i="30"/>
  <c r="D8" i="20"/>
  <c r="B7" i="6"/>
  <c r="E63" i="30"/>
  <c r="E62" i="30"/>
  <c r="E61" i="30"/>
  <c r="E60" i="30"/>
  <c r="B13" i="6"/>
  <c r="E58" i="30"/>
  <c r="B12" i="6"/>
  <c r="E57" i="30"/>
  <c r="E55" i="30"/>
  <c r="E56" i="30"/>
  <c r="E59" i="30"/>
  <c r="B10" i="6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E12" i="30"/>
  <c r="E11" i="30"/>
  <c r="E9" i="30"/>
  <c r="D147" i="30"/>
  <c r="A20" i="6"/>
  <c r="D144" i="30"/>
  <c r="D143" i="30"/>
  <c r="D140" i="30"/>
  <c r="D138" i="30"/>
  <c r="D137" i="30"/>
  <c r="A18" i="6"/>
  <c r="D135" i="30"/>
  <c r="A19" i="6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A17" i="6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D63" i="30"/>
  <c r="D62" i="30"/>
  <c r="D61" i="30"/>
  <c r="D60" i="30"/>
  <c r="A13" i="6"/>
  <c r="D58" i="30"/>
  <c r="A12" i="6"/>
  <c r="D57" i="30"/>
  <c r="D55" i="30"/>
  <c r="D56" i="30"/>
  <c r="D59" i="30"/>
  <c r="A10" i="6"/>
  <c r="A7" i="6"/>
  <c r="A11" i="6"/>
  <c r="D54" i="30"/>
  <c r="D53" i="30"/>
  <c r="A8" i="6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D12" i="30"/>
  <c r="D11" i="30"/>
  <c r="D9" i="30"/>
  <c r="G8" i="30"/>
  <c r="F8" i="30"/>
  <c r="B6" i="8"/>
  <c r="D16" i="2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R37" i="19"/>
  <c r="AH241" i="29"/>
  <c r="Q36" i="18"/>
  <c r="H19" i="14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/>
  <c r="R22" i="19"/>
  <c r="O232" i="29"/>
  <c r="D22" i="19"/>
  <c r="L214" i="29"/>
  <c r="E22" i="19"/>
  <c r="C22" i="19"/>
  <c r="K214" i="29"/>
  <c r="C21" i="19"/>
  <c r="T22" i="18"/>
  <c r="T21" i="18"/>
  <c r="S22" i="18"/>
  <c r="S21" i="18"/>
  <c r="Q45" i="16"/>
  <c r="S42" i="17"/>
  <c r="D32" i="16"/>
  <c r="C32" i="16"/>
  <c r="C53" i="16"/>
  <c r="E32" i="16"/>
  <c r="D24" i="16"/>
  <c r="C24" i="16"/>
  <c r="C52" i="16"/>
  <c r="E24" i="16"/>
  <c r="E8" i="16"/>
  <c r="E51" i="16"/>
  <c r="D8" i="16"/>
  <c r="C8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0" i="11"/>
  <c r="D75" i="10"/>
  <c r="D77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B17" i="8"/>
  <c r="B18" i="8"/>
  <c r="A4" i="26"/>
  <c r="B6" i="19"/>
  <c r="A4" i="13"/>
  <c r="A4" i="11"/>
  <c r="A4" i="46"/>
  <c r="M26" i="15"/>
  <c r="O159" i="29"/>
  <c r="M25" i="15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37" i="29"/>
  <c r="C6" i="4"/>
  <c r="C19" i="29"/>
  <c r="R21" i="19"/>
  <c r="O231" i="29"/>
  <c r="Q21" i="19"/>
  <c r="O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S35" i="17"/>
  <c r="S36" i="17"/>
  <c r="S37" i="17"/>
  <c r="S38" i="17"/>
  <c r="S39" i="17"/>
  <c r="S40" i="17"/>
  <c r="S41" i="17"/>
  <c r="S43" i="17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N25" i="29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C9" i="19"/>
  <c r="K202" i="29"/>
  <c r="C10" i="19"/>
  <c r="K203" i="29"/>
  <c r="C18" i="18"/>
  <c r="C24" i="18"/>
  <c r="C11" i="18"/>
  <c r="Q159" i="29"/>
  <c r="T158" i="29"/>
  <c r="B7" i="14"/>
  <c r="B24" i="14"/>
  <c r="B24" i="15"/>
  <c r="K157" i="29"/>
  <c r="B18" i="14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8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 s="1"/>
  <c r="A17" i="28"/>
  <c r="AN286" i="29"/>
  <c r="A18" i="28"/>
  <c r="AN287" i="29"/>
  <c r="A19" i="28"/>
  <c r="AN288" i="29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B25" i="27"/>
  <c r="B26" i="27" s="1"/>
  <c r="C25" i="27"/>
  <c r="C26" i="27" s="1"/>
  <c r="D25" i="27"/>
  <c r="D26" i="27" s="1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E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R11" i="19"/>
  <c r="U8" i="19"/>
  <c r="AO219" i="29"/>
  <c r="D9" i="19"/>
  <c r="L202" i="29"/>
  <c r="E9" i="19"/>
  <c r="Q9" i="19"/>
  <c r="O202" i="29"/>
  <c r="R9" i="19"/>
  <c r="U9" i="19"/>
  <c r="AO202" i="29"/>
  <c r="D10" i="19"/>
  <c r="L203" i="29"/>
  <c r="E10" i="19"/>
  <c r="L221" i="29"/>
  <c r="Q10" i="19"/>
  <c r="O203" i="29"/>
  <c r="R10" i="19"/>
  <c r="O221" i="2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O205" i="29"/>
  <c r="AH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L18" i="19"/>
  <c r="AC211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J18" i="19"/>
  <c r="AA211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H18" i="19"/>
  <c r="Y211" i="29"/>
  <c r="I15" i="19"/>
  <c r="Z208" i="29"/>
  <c r="J15" i="19"/>
  <c r="AA208" i="29"/>
  <c r="K15" i="19"/>
  <c r="AB208" i="29"/>
  <c r="L15" i="19"/>
  <c r="AC208" i="29"/>
  <c r="M15" i="19"/>
  <c r="AD208" i="29"/>
  <c r="N15" i="19"/>
  <c r="N18" i="19"/>
  <c r="AE211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E11" i="18"/>
  <c r="Q11" i="18"/>
  <c r="Q19" i="18"/>
  <c r="R11" i="18"/>
  <c r="S11" i="18"/>
  <c r="R12" i="18"/>
  <c r="S12" i="18"/>
  <c r="R13" i="18"/>
  <c r="R14" i="18"/>
  <c r="S14" i="18"/>
  <c r="R15" i="18"/>
  <c r="S15" i="18"/>
  <c r="R16" i="18"/>
  <c r="T16" i="18"/>
  <c r="R17" i="18"/>
  <c r="R17" i="19"/>
  <c r="D18" i="18"/>
  <c r="E18" i="18"/>
  <c r="E26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S44" i="17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I6" i="14"/>
  <c r="K6" i="14"/>
  <c r="K9" i="14"/>
  <c r="C7" i="14"/>
  <c r="E7" i="14"/>
  <c r="D7" i="14"/>
  <c r="F7" i="14"/>
  <c r="G7" i="14"/>
  <c r="H7" i="14"/>
  <c r="I7" i="14"/>
  <c r="J7" i="14"/>
  <c r="K7" i="14"/>
  <c r="L7" i="14"/>
  <c r="C10" i="14"/>
  <c r="D10" i="14"/>
  <c r="G10" i="14"/>
  <c r="I10" i="14"/>
  <c r="K10" i="14"/>
  <c r="L10" i="14"/>
  <c r="E11" i="14"/>
  <c r="M11" i="14"/>
  <c r="E12" i="14"/>
  <c r="M12" i="14"/>
  <c r="E13" i="14"/>
  <c r="M13" i="14"/>
  <c r="E14" i="14"/>
  <c r="M14" i="14"/>
  <c r="E16" i="14"/>
  <c r="C6" i="14"/>
  <c r="E6" i="14"/>
  <c r="F16" i="14"/>
  <c r="J16" i="14"/>
  <c r="M16" i="14"/>
  <c r="E17" i="14"/>
  <c r="M17" i="14"/>
  <c r="C18" i="14"/>
  <c r="D18" i="14"/>
  <c r="G18" i="14"/>
  <c r="I18" i="14"/>
  <c r="K18" i="14"/>
  <c r="L18" i="14"/>
  <c r="M18" i="14"/>
  <c r="E19" i="14"/>
  <c r="F19" i="14"/>
  <c r="M19" i="14"/>
  <c r="E20" i="14"/>
  <c r="M20" i="14"/>
  <c r="E21" i="14"/>
  <c r="M21" i="14"/>
  <c r="E22" i="14"/>
  <c r="M22" i="14"/>
  <c r="E23" i="14"/>
  <c r="M23" i="14"/>
  <c r="C24" i="14"/>
  <c r="L24" i="14"/>
  <c r="M24" i="15"/>
  <c r="O157" i="29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36" i="12"/>
  <c r="Q37" i="12"/>
  <c r="Q21" i="12"/>
  <c r="P25" i="12"/>
  <c r="S25" i="12"/>
  <c r="P26" i="12"/>
  <c r="R26" i="12"/>
  <c r="H33" i="32"/>
  <c r="P8" i="12"/>
  <c r="P42" i="12"/>
  <c r="G33" i="32"/>
  <c r="G34" i="32"/>
  <c r="G35" i="32"/>
  <c r="G36" i="32"/>
  <c r="G37" i="32"/>
  <c r="G38" i="32"/>
  <c r="G39" i="32"/>
  <c r="G40" i="32"/>
  <c r="M6" i="8"/>
  <c r="P7" i="12"/>
  <c r="C6" i="8"/>
  <c r="C7" i="12"/>
  <c r="R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30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B8" i="11"/>
  <c r="AN66" i="29"/>
  <c r="R8" i="10"/>
  <c r="V7" i="10"/>
  <c r="B9" i="10"/>
  <c r="B9" i="11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T10" i="10"/>
  <c r="B11" i="10"/>
  <c r="B11" i="11"/>
  <c r="AN68" i="29"/>
  <c r="R11" i="10"/>
  <c r="T11" i="10"/>
  <c r="B12" i="10"/>
  <c r="B1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P28" i="9"/>
  <c r="AO55" i="29"/>
  <c r="P30" i="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E7" i="8"/>
  <c r="N7" i="8"/>
  <c r="D8" i="8"/>
  <c r="G8" i="8"/>
  <c r="H8" i="8"/>
  <c r="I8" i="8"/>
  <c r="E10" i="8"/>
  <c r="E6" i="8"/>
  <c r="F10" i="8"/>
  <c r="F11" i="8"/>
  <c r="E12" i="8"/>
  <c r="F12" i="8"/>
  <c r="F13" i="8"/>
  <c r="F14" i="8"/>
  <c r="F8" i="8"/>
  <c r="N10" i="8"/>
  <c r="E13" i="8"/>
  <c r="N13" i="8"/>
  <c r="E14" i="8"/>
  <c r="N14" i="8"/>
  <c r="E15" i="8"/>
  <c r="N15" i="8"/>
  <c r="E19" i="8"/>
  <c r="N19" i="8"/>
  <c r="C20" i="8"/>
  <c r="D20" i="8"/>
  <c r="D17" i="8"/>
  <c r="G20" i="8"/>
  <c r="G17" i="8"/>
  <c r="I20" i="8"/>
  <c r="I28" i="8"/>
  <c r="I22" i="8"/>
  <c r="L20" i="8"/>
  <c r="L17" i="8"/>
  <c r="M20" i="8"/>
  <c r="M17" i="8"/>
  <c r="M18" i="8"/>
  <c r="E24" i="8"/>
  <c r="N24" i="8"/>
  <c r="E25" i="8"/>
  <c r="N25" i="8"/>
  <c r="E26" i="8"/>
  <c r="N26" i="8"/>
  <c r="E27" i="8"/>
  <c r="N27" i="8"/>
  <c r="E30" i="8"/>
  <c r="N30" i="8"/>
  <c r="D35" i="8"/>
  <c r="G35" i="8"/>
  <c r="H35" i="8"/>
  <c r="I35" i="8"/>
  <c r="L35" i="8"/>
  <c r="L42" i="8"/>
  <c r="A1" i="7"/>
  <c r="E5" i="7"/>
  <c r="A25" i="7"/>
  <c r="A26" i="7"/>
  <c r="A27" i="7"/>
  <c r="A28" i="7"/>
  <c r="A29" i="7"/>
  <c r="A30" i="7"/>
  <c r="A31" i="7"/>
  <c r="A32" i="7"/>
  <c r="A1" i="6"/>
  <c r="B4" i="4"/>
  <c r="B282" i="29"/>
  <c r="B5" i="4"/>
  <c r="F281" i="29"/>
  <c r="B8" i="4"/>
  <c r="B38" i="18"/>
  <c r="A4" i="10"/>
  <c r="V13" i="10"/>
  <c r="O267" i="29"/>
  <c r="P159" i="29"/>
  <c r="I8" i="14"/>
  <c r="G8" i="14"/>
  <c r="S15" i="33"/>
  <c r="B8" i="14"/>
  <c r="P158" i="29"/>
  <c r="M10" i="14"/>
  <c r="Q23" i="12"/>
  <c r="Q38" i="12"/>
  <c r="V159" i="29"/>
  <c r="Q40" i="12"/>
  <c r="Q46" i="12"/>
  <c r="Q34" i="12"/>
  <c r="O158" i="29"/>
  <c r="N25" i="15"/>
  <c r="S72" i="10"/>
  <c r="R54" i="10"/>
  <c r="T54" i="10"/>
  <c r="R44" i="10"/>
  <c r="R63" i="10"/>
  <c r="D72" i="10"/>
  <c r="R68" i="10"/>
  <c r="T68" i="10"/>
  <c r="T8" i="10"/>
  <c r="R59" i="10"/>
  <c r="T59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U11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B28" i="8"/>
  <c r="B22" i="8"/>
  <c r="B23" i="8"/>
  <c r="S18" i="33"/>
  <c r="C24" i="10"/>
  <c r="P157" i="29"/>
  <c r="U20" i="10"/>
  <c r="U17" i="10"/>
  <c r="T23" i="10"/>
  <c r="V22" i="10"/>
  <c r="U22" i="10"/>
  <c r="R24" i="10"/>
  <c r="T24" i="10"/>
  <c r="T22" i="10"/>
  <c r="U23" i="10"/>
  <c r="Q43" i="16"/>
  <c r="J24" i="16"/>
  <c r="M32" i="16"/>
  <c r="H32" i="16"/>
  <c r="I32" i="16"/>
  <c r="F12" i="33"/>
  <c r="G12" i="33"/>
  <c r="H12" i="33"/>
  <c r="I53" i="16"/>
  <c r="O32" i="16"/>
  <c r="L24" i="16"/>
  <c r="J32" i="16"/>
  <c r="L32" i="16"/>
  <c r="N8" i="16"/>
  <c r="I8" i="16"/>
  <c r="M24" i="16"/>
  <c r="P32" i="16"/>
  <c r="P8" i="16"/>
  <c r="F32" i="16"/>
  <c r="F49" i="16"/>
  <c r="K8" i="16"/>
  <c r="M8" i="16"/>
  <c r="N10" i="20"/>
  <c r="M46" i="16"/>
  <c r="M49" i="16"/>
  <c r="K24" i="16"/>
  <c r="L8" i="16"/>
  <c r="H8" i="16"/>
  <c r="H24" i="16"/>
  <c r="F24" i="16"/>
  <c r="N24" i="16"/>
  <c r="J8" i="16"/>
  <c r="G32" i="16"/>
  <c r="F8" i="16"/>
  <c r="O24" i="16"/>
  <c r="I24" i="16"/>
  <c r="O8" i="16"/>
  <c r="P10" i="20"/>
  <c r="O46" i="16"/>
  <c r="O49" i="16"/>
  <c r="G24" i="16"/>
  <c r="P24" i="16"/>
  <c r="G8" i="16"/>
  <c r="K32" i="16"/>
  <c r="D19" i="18"/>
  <c r="AH207" i="29"/>
  <c r="AO210" i="29"/>
  <c r="AO230" i="29"/>
  <c r="T10" i="19"/>
  <c r="S25" i="19"/>
  <c r="AO229" i="29"/>
  <c r="AO200" i="29"/>
  <c r="AO223" i="29"/>
  <c r="S17" i="18"/>
  <c r="S8" i="19"/>
  <c r="AO207" i="29"/>
  <c r="S10" i="19"/>
  <c r="R12" i="19"/>
  <c r="T12" i="19"/>
  <c r="O219" i="29"/>
  <c r="AO222" i="29"/>
  <c r="T11" i="18"/>
  <c r="T12" i="18"/>
  <c r="S24" i="19"/>
  <c r="AO220" i="29"/>
  <c r="O18" i="19"/>
  <c r="AF211" i="29"/>
  <c r="O234" i="29"/>
  <c r="O209" i="29"/>
  <c r="AO226" i="29"/>
  <c r="AO215" i="29"/>
  <c r="I18" i="19"/>
  <c r="Z211" i="29"/>
  <c r="F18" i="19"/>
  <c r="W211" i="29"/>
  <c r="L220" i="29"/>
  <c r="T25" i="19"/>
  <c r="AO213" i="29"/>
  <c r="AO221" i="29"/>
  <c r="D18" i="19"/>
  <c r="L211" i="29"/>
  <c r="AO209" i="29"/>
  <c r="T24" i="19"/>
  <c r="AO206" i="29"/>
  <c r="Y206" i="29"/>
  <c r="AC205" i="29"/>
  <c r="S21" i="19"/>
  <c r="T21" i="19"/>
  <c r="T17" i="18"/>
  <c r="AO217" i="29"/>
  <c r="O233" i="29"/>
  <c r="AO234" i="29"/>
  <c r="N32" i="16"/>
  <c r="Q24" i="16"/>
  <c r="Q31" i="16"/>
  <c r="N19" i="40"/>
  <c r="E10" i="20"/>
  <c r="E8" i="20"/>
  <c r="E14" i="20"/>
  <c r="D46" i="16"/>
  <c r="N22" i="40"/>
  <c r="C13" i="20"/>
  <c r="C11" i="20"/>
  <c r="F18" i="6"/>
  <c r="F14" i="6"/>
  <c r="F7" i="6"/>
  <c r="F15" i="6"/>
  <c r="D24" i="18"/>
  <c r="D25" i="18"/>
  <c r="D26" i="18"/>
  <c r="F13" i="6"/>
  <c r="D25" i="19"/>
  <c r="L216" i="29"/>
  <c r="S11" i="20"/>
  <c r="G81" i="10"/>
  <c r="G66" i="10"/>
  <c r="H81" i="10"/>
  <c r="H66" i="10"/>
  <c r="I81" i="10"/>
  <c r="I66" i="10"/>
  <c r="D52" i="16"/>
  <c r="Q24" i="18"/>
  <c r="Q25" i="18"/>
  <c r="P33" i="12"/>
  <c r="I33" i="12"/>
  <c r="F33" i="12"/>
  <c r="M11" i="8"/>
  <c r="P32" i="12"/>
  <c r="F32" i="12"/>
  <c r="G32" i="12"/>
  <c r="C24" i="19"/>
  <c r="K215" i="29"/>
  <c r="C24" i="12"/>
  <c r="C46" i="16"/>
  <c r="C49" i="16"/>
  <c r="F19" i="32"/>
  <c r="C10" i="20"/>
  <c r="S9" i="20"/>
  <c r="D24" i="19"/>
  <c r="L215" i="29"/>
  <c r="H16" i="20"/>
  <c r="F17" i="6"/>
  <c r="G17" i="6"/>
  <c r="C12" i="20"/>
  <c r="D53" i="16"/>
  <c r="E13" i="20"/>
  <c r="E13" i="21"/>
  <c r="B7" i="16"/>
  <c r="S8" i="20"/>
  <c r="G16" i="20"/>
  <c r="G21" i="32"/>
  <c r="G30" i="32"/>
  <c r="E12" i="20"/>
  <c r="Q30" i="33"/>
  <c r="K18" i="12"/>
  <c r="Q28" i="33"/>
  <c r="S28" i="33"/>
  <c r="D21" i="33"/>
  <c r="D30" i="33"/>
  <c r="Q24" i="33"/>
  <c r="S24" i="33"/>
  <c r="H25" i="32"/>
  <c r="S25" i="33"/>
  <c r="Q23" i="33"/>
  <c r="Q29" i="33"/>
  <c r="S29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F17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J7" i="12"/>
  <c r="J43" i="12"/>
  <c r="O11" i="12"/>
  <c r="K14" i="12"/>
  <c r="H12" i="12"/>
  <c r="H9" i="12"/>
  <c r="D19" i="33"/>
  <c r="F20" i="20"/>
  <c r="F18" i="20"/>
  <c r="H43" i="32"/>
  <c r="G80" i="10"/>
  <c r="G37" i="10"/>
  <c r="I80" i="10"/>
  <c r="I37" i="10"/>
  <c r="I37" i="11"/>
  <c r="P80" i="10"/>
  <c r="P37" i="10"/>
  <c r="P37" i="11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H8" i="12"/>
  <c r="H42" i="12"/>
  <c r="I16" i="12"/>
  <c r="I46" i="33"/>
  <c r="F41" i="10"/>
  <c r="D7" i="12"/>
  <c r="F8" i="20"/>
  <c r="D11" i="12"/>
  <c r="Q22" i="33"/>
  <c r="S22" i="33"/>
  <c r="Q21" i="33"/>
  <c r="F10" i="20"/>
  <c r="E46" i="16"/>
  <c r="H39" i="32"/>
  <c r="P14" i="12"/>
  <c r="C14" i="12"/>
  <c r="R14" i="12"/>
  <c r="C14" i="13"/>
  <c r="L115" i="29"/>
  <c r="D14" i="12"/>
  <c r="G8" i="12"/>
  <c r="G7" i="12"/>
  <c r="I6" i="18"/>
  <c r="L8" i="20"/>
  <c r="L6" i="18"/>
  <c r="F40" i="33"/>
  <c r="M7" i="12"/>
  <c r="H6" i="18"/>
  <c r="H8" i="20"/>
  <c r="O7" i="12"/>
  <c r="Q8" i="20"/>
  <c r="E53" i="16"/>
  <c r="F13" i="20"/>
  <c r="D8" i="12"/>
  <c r="H35" i="32"/>
  <c r="P10" i="12"/>
  <c r="G8" i="20"/>
  <c r="E7" i="12"/>
  <c r="G6" i="18"/>
  <c r="D12" i="12"/>
  <c r="J8" i="20"/>
  <c r="H7" i="12"/>
  <c r="G41" i="10"/>
  <c r="F76" i="10"/>
  <c r="N41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E34" i="32"/>
  <c r="E35" i="32"/>
  <c r="E36" i="32"/>
  <c r="E37" i="32"/>
  <c r="E38" i="32"/>
  <c r="E39" i="32"/>
  <c r="E40" i="32"/>
  <c r="E41" i="32"/>
  <c r="E42" i="32"/>
  <c r="E43" i="32"/>
  <c r="E44" i="32"/>
  <c r="E45" i="32"/>
  <c r="D25" i="32"/>
  <c r="D31" i="30"/>
  <c r="F96" i="30"/>
  <c r="H24" i="30"/>
  <c r="H84" i="30"/>
  <c r="I28" i="30"/>
  <c r="I108" i="30"/>
  <c r="H36" i="32"/>
  <c r="P11" i="12"/>
  <c r="G27" i="32"/>
  <c r="D26" i="32"/>
  <c r="D32" i="30"/>
  <c r="E96" i="30"/>
  <c r="F97" i="30"/>
  <c r="G28" i="32"/>
  <c r="E97" i="30"/>
  <c r="F118" i="30"/>
  <c r="F139" i="30"/>
  <c r="G22" i="30"/>
  <c r="G145" i="30"/>
  <c r="H38" i="32"/>
  <c r="P13" i="12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H41" i="32"/>
  <c r="Q41" i="33"/>
  <c r="S41" i="33"/>
  <c r="C9" i="12"/>
  <c r="D9" i="13"/>
  <c r="P9" i="12"/>
  <c r="Q9" i="13"/>
  <c r="U9" i="13"/>
  <c r="F25" i="32"/>
  <c r="D33" i="32"/>
  <c r="D34" i="32"/>
  <c r="D35" i="32"/>
  <c r="D36" i="32"/>
  <c r="D37" i="32"/>
  <c r="D38" i="32"/>
  <c r="D39" i="32"/>
  <c r="D40" i="32"/>
  <c r="D96" i="30"/>
  <c r="F24" i="30"/>
  <c r="F84" i="30"/>
  <c r="H42" i="32"/>
  <c r="Q42" i="33"/>
  <c r="S42" i="33"/>
  <c r="C10" i="12"/>
  <c r="C10" i="13"/>
  <c r="D97" i="30"/>
  <c r="F145" i="30"/>
  <c r="H10" i="30"/>
  <c r="I34" i="30"/>
  <c r="C11" i="12"/>
  <c r="D118" i="30"/>
  <c r="D139" i="30"/>
  <c r="E22" i="30"/>
  <c r="E145" i="30"/>
  <c r="F146" i="30"/>
  <c r="G87" i="30"/>
  <c r="H31" i="30"/>
  <c r="H44" i="32"/>
  <c r="P19" i="12"/>
  <c r="G44" i="32"/>
  <c r="C19" i="12"/>
  <c r="Q44" i="33"/>
  <c r="C12" i="12"/>
  <c r="F28" i="32"/>
  <c r="D119" i="30"/>
  <c r="E23" i="30"/>
  <c r="E146" i="30"/>
  <c r="G28" i="30"/>
  <c r="G108" i="30"/>
  <c r="H32" i="30"/>
  <c r="I96" i="30"/>
  <c r="H45" i="32"/>
  <c r="P20" i="12"/>
  <c r="P16" i="12"/>
  <c r="P17" i="12"/>
  <c r="P18" i="12"/>
  <c r="P21" i="12"/>
  <c r="C13" i="12"/>
  <c r="D13" i="13"/>
  <c r="F29" i="32"/>
  <c r="E24" i="30"/>
  <c r="E84" i="30"/>
  <c r="F28" i="30"/>
  <c r="G10" i="30"/>
  <c r="H34" i="30"/>
  <c r="I118" i="30"/>
  <c r="I139" i="30"/>
  <c r="G41" i="32"/>
  <c r="C16" i="12"/>
  <c r="C16" i="13"/>
  <c r="Q16" i="13"/>
  <c r="S16" i="13"/>
  <c r="D22" i="30"/>
  <c r="D145" i="30"/>
  <c r="F10" i="30"/>
  <c r="F87" i="30"/>
  <c r="G31" i="30"/>
  <c r="G42" i="32"/>
  <c r="C17" i="12"/>
  <c r="D41" i="32"/>
  <c r="D42" i="32"/>
  <c r="D43" i="32"/>
  <c r="D44" i="32"/>
  <c r="D46" i="32"/>
  <c r="D23" i="30"/>
  <c r="D146" i="30"/>
  <c r="E87" i="30"/>
  <c r="F31" i="30"/>
  <c r="F108" i="30"/>
  <c r="G32" i="30"/>
  <c r="H96" i="30"/>
  <c r="G43" i="32"/>
  <c r="D24" i="30"/>
  <c r="D84" i="30"/>
  <c r="E28" i="30"/>
  <c r="E108" i="30"/>
  <c r="F32" i="30"/>
  <c r="H97" i="30"/>
  <c r="E25" i="32"/>
  <c r="G34" i="30"/>
  <c r="H118" i="30"/>
  <c r="H139" i="30"/>
  <c r="I145" i="30"/>
  <c r="G45" i="32"/>
  <c r="C20" i="12"/>
  <c r="D20" i="13"/>
  <c r="E10" i="30"/>
  <c r="F34" i="30"/>
  <c r="H119" i="30"/>
  <c r="I146" i="30"/>
  <c r="F40" i="32"/>
  <c r="C10" i="6"/>
  <c r="P12" i="12"/>
  <c r="E10" i="33"/>
  <c r="F10" i="33"/>
  <c r="G10" i="33"/>
  <c r="M46" i="33"/>
  <c r="D46" i="33"/>
  <c r="F51" i="16"/>
  <c r="G11" i="12"/>
  <c r="G9" i="12"/>
  <c r="G15" i="12"/>
  <c r="G36" i="12"/>
  <c r="J9" i="12"/>
  <c r="O40" i="33"/>
  <c r="K19" i="12"/>
  <c r="K46" i="33"/>
  <c r="D9" i="12"/>
  <c r="G40" i="33"/>
  <c r="G32" i="33"/>
  <c r="I40" i="33"/>
  <c r="I32" i="33"/>
  <c r="R15" i="19"/>
  <c r="S15" i="19"/>
  <c r="T15" i="18"/>
  <c r="R13" i="19"/>
  <c r="O224" i="29"/>
  <c r="O206" i="29"/>
  <c r="T13" i="18"/>
  <c r="S13" i="18"/>
  <c r="S12" i="19"/>
  <c r="O223" i="29"/>
  <c r="T13" i="19"/>
  <c r="M157" i="29"/>
  <c r="N26" i="15"/>
  <c r="E18" i="14"/>
  <c r="E24" i="14"/>
  <c r="E24" i="15"/>
  <c r="N157" i="29"/>
  <c r="M31" i="8"/>
  <c r="R80" i="10"/>
  <c r="D19" i="32"/>
  <c r="E81" i="10"/>
  <c r="E66" i="10"/>
  <c r="E49" i="32"/>
  <c r="D22" i="20"/>
  <c r="D22" i="21"/>
  <c r="C18" i="12"/>
  <c r="P43" i="12"/>
  <c r="AH208" i="29"/>
  <c r="R14" i="19"/>
  <c r="T14" i="18"/>
  <c r="O216" i="29"/>
  <c r="P31" i="12"/>
  <c r="M31" i="12"/>
  <c r="O31" i="12"/>
  <c r="R81" i="10"/>
  <c r="T81" i="10"/>
  <c r="E16" i="20"/>
  <c r="S23" i="33"/>
  <c r="S59" i="33"/>
  <c r="S56" i="33"/>
  <c r="S55" i="33"/>
  <c r="S52" i="33"/>
  <c r="S51" i="33"/>
  <c r="N76" i="10"/>
  <c r="L17" i="12"/>
  <c r="L40" i="33"/>
  <c r="L46" i="33"/>
  <c r="L32" i="33"/>
  <c r="L76" i="10"/>
  <c r="L41" i="10"/>
  <c r="F53" i="16"/>
  <c r="G13" i="20"/>
  <c r="J76" i="10"/>
  <c r="J85" i="1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N46" i="33"/>
  <c r="I21" i="33"/>
  <c r="I30" i="33"/>
  <c r="Q105" i="31"/>
  <c r="S105" i="31"/>
  <c r="D49" i="33"/>
  <c r="F22" i="20"/>
  <c r="E52" i="16"/>
  <c r="O42" i="12"/>
  <c r="O43" i="12"/>
  <c r="D42" i="12"/>
  <c r="L42" i="12"/>
  <c r="N40" i="33"/>
  <c r="N32" i="33"/>
  <c r="H46" i="33"/>
  <c r="F9" i="33"/>
  <c r="G9" i="33"/>
  <c r="H51" i="16"/>
  <c r="G11" i="20"/>
  <c r="O225" i="29"/>
  <c r="I13" i="20"/>
  <c r="E49" i="33"/>
  <c r="G22" i="20"/>
  <c r="F49" i="33"/>
  <c r="H22" i="20"/>
  <c r="G49" i="33"/>
  <c r="I22" i="20"/>
  <c r="H49" i="33"/>
  <c r="J22" i="20"/>
  <c r="I49" i="33"/>
  <c r="K22" i="20"/>
  <c r="J49" i="33"/>
  <c r="L22" i="20"/>
  <c r="K49" i="33"/>
  <c r="M22" i="20"/>
  <c r="L49" i="33"/>
  <c r="N22" i="20"/>
  <c r="M49" i="33"/>
  <c r="O22" i="20"/>
  <c r="N49" i="33"/>
  <c r="P22" i="20"/>
  <c r="S50" i="33"/>
  <c r="O49" i="33"/>
  <c r="L28" i="8"/>
  <c r="L22" i="8"/>
  <c r="G28" i="8"/>
  <c r="G22" i="8"/>
  <c r="G22" i="9"/>
  <c r="R50" i="29"/>
  <c r="M7" i="14"/>
  <c r="I17" i="8"/>
  <c r="Q39" i="12"/>
  <c r="Q43" i="12"/>
  <c r="C28" i="45"/>
  <c r="B28" i="45"/>
  <c r="B28" i="46"/>
  <c r="AL35" i="29"/>
  <c r="D5" i="29"/>
  <c r="D226" i="29"/>
  <c r="F47" i="29"/>
  <c r="E5" i="6"/>
  <c r="B39" i="18"/>
  <c r="C90" i="29"/>
  <c r="D11" i="29"/>
  <c r="D6" i="29"/>
  <c r="C287" i="29"/>
  <c r="D223" i="29"/>
  <c r="D23" i="29"/>
  <c r="C157" i="29"/>
  <c r="C163" i="29"/>
  <c r="D141" i="29"/>
  <c r="C80" i="29"/>
  <c r="C39" i="29"/>
  <c r="C270" i="29"/>
  <c r="C113" i="29"/>
  <c r="D280" i="29"/>
  <c r="D293" i="29"/>
  <c r="D81" i="29"/>
  <c r="D61" i="29"/>
  <c r="D277" i="29"/>
  <c r="D278" i="29"/>
  <c r="D48" i="29"/>
  <c r="D29" i="29"/>
  <c r="D268" i="29"/>
  <c r="D10" i="29"/>
  <c r="D115" i="29"/>
  <c r="D286" i="29"/>
  <c r="D147" i="29"/>
  <c r="D45" i="29"/>
  <c r="D213" i="29"/>
  <c r="D43" i="29"/>
  <c r="D224" i="29"/>
  <c r="C74" i="29"/>
  <c r="F43" i="29"/>
  <c r="D212" i="29"/>
  <c r="D148" i="29"/>
  <c r="C210" i="29"/>
  <c r="C229" i="29"/>
  <c r="C216" i="29"/>
  <c r="C174" i="29"/>
  <c r="C153" i="29"/>
  <c r="C233" i="29"/>
  <c r="C69" i="29"/>
  <c r="C82" i="29"/>
  <c r="D37" i="29"/>
  <c r="D182" i="29"/>
  <c r="D283" i="29"/>
  <c r="C252" i="29"/>
  <c r="C66" i="29"/>
  <c r="D146" i="29"/>
  <c r="D215" i="29"/>
  <c r="D89" i="29"/>
  <c r="D117" i="29"/>
  <c r="C127" i="29"/>
  <c r="C84" i="29"/>
  <c r="F88" i="29"/>
  <c r="D63" i="29"/>
  <c r="D238" i="29"/>
  <c r="D25" i="29"/>
  <c r="C173" i="29"/>
  <c r="C16" i="29"/>
  <c r="C226" i="29"/>
  <c r="C154" i="29"/>
  <c r="C130" i="29"/>
  <c r="D18" i="29"/>
  <c r="D130" i="29"/>
  <c r="D276" i="29"/>
  <c r="C276" i="29"/>
  <c r="C97" i="29"/>
  <c r="C202" i="29"/>
  <c r="C7" i="29"/>
  <c r="D32" i="29"/>
  <c r="C76" i="29"/>
  <c r="D174" i="29"/>
  <c r="D220" i="29"/>
  <c r="D122" i="29"/>
  <c r="C238" i="29"/>
  <c r="C191" i="29"/>
  <c r="C148" i="29"/>
  <c r="C169" i="29"/>
  <c r="C75" i="29"/>
  <c r="C259" i="29"/>
  <c r="C114" i="29"/>
  <c r="C83" i="29"/>
  <c r="C283" i="29"/>
  <c r="C199" i="29"/>
  <c r="C288" i="29"/>
  <c r="C223" i="29"/>
  <c r="D93" i="29"/>
  <c r="C180" i="29"/>
  <c r="C179" i="29"/>
  <c r="C147" i="29"/>
  <c r="C213" i="29"/>
  <c r="C208" i="29"/>
  <c r="D161" i="29"/>
  <c r="C193" i="29"/>
  <c r="C112" i="29"/>
  <c r="C246" i="29"/>
  <c r="C284" i="29"/>
  <c r="D209" i="29"/>
  <c r="D60" i="29"/>
  <c r="D269" i="29"/>
  <c r="D284" i="29"/>
  <c r="C132" i="29"/>
  <c r="D177" i="29"/>
  <c r="D8" i="29"/>
  <c r="D185" i="29"/>
  <c r="D199" i="29"/>
  <c r="C57" i="29"/>
  <c r="C67" i="29"/>
  <c r="C206" i="29"/>
  <c r="D98" i="29"/>
  <c r="D175" i="29"/>
  <c r="D97" i="29"/>
  <c r="C156" i="29"/>
  <c r="C251" i="29"/>
  <c r="C106" i="29"/>
  <c r="D264" i="29"/>
  <c r="B66" i="29"/>
  <c r="B193" i="29"/>
  <c r="B293" i="29"/>
  <c r="B138" i="29"/>
  <c r="B19" i="29"/>
  <c r="B199" i="29"/>
  <c r="B136" i="29"/>
  <c r="B125" i="29"/>
  <c r="B236" i="29"/>
  <c r="B245" i="29"/>
  <c r="B57" i="29"/>
  <c r="B122" i="29"/>
  <c r="B88" i="29"/>
  <c r="B62" i="29"/>
  <c r="B258" i="29"/>
  <c r="D218" i="29"/>
  <c r="D132" i="29"/>
  <c r="D254" i="29"/>
  <c r="D52" i="29"/>
  <c r="D154" i="29"/>
  <c r="D4" i="29"/>
  <c r="C155" i="29"/>
  <c r="C93" i="29"/>
  <c r="C115" i="29"/>
  <c r="C244" i="29"/>
  <c r="C125" i="29"/>
  <c r="C203" i="29"/>
  <c r="C21" i="29"/>
  <c r="C15" i="29"/>
  <c r="C228" i="29"/>
  <c r="D95" i="29"/>
  <c r="F44" i="29"/>
  <c r="A4" i="27"/>
  <c r="F16" i="29"/>
  <c r="F225" i="29"/>
  <c r="C72" i="29"/>
  <c r="D184" i="29"/>
  <c r="D188" i="29"/>
  <c r="D86" i="29"/>
  <c r="D66" i="29"/>
  <c r="D35" i="29"/>
  <c r="D196" i="29"/>
  <c r="C254" i="29"/>
  <c r="C52" i="29"/>
  <c r="C116" i="29"/>
  <c r="C188" i="29"/>
  <c r="C77" i="29"/>
  <c r="C292" i="29"/>
  <c r="D227" i="29"/>
  <c r="F101" i="29"/>
  <c r="A4" i="45"/>
  <c r="F85" i="29"/>
  <c r="F158" i="29"/>
  <c r="F205" i="29"/>
  <c r="D19" i="29"/>
  <c r="D206" i="29"/>
  <c r="D228" i="29"/>
  <c r="D205" i="29"/>
  <c r="D229" i="29"/>
  <c r="D123" i="29"/>
  <c r="D26" i="29"/>
  <c r="C181" i="29"/>
  <c r="C45" i="29"/>
  <c r="C152" i="29"/>
  <c r="C207" i="29"/>
  <c r="C100" i="29"/>
  <c r="C91" i="29"/>
  <c r="D153" i="29"/>
  <c r="D36" i="29"/>
  <c r="B38" i="19"/>
  <c r="F127" i="29"/>
  <c r="A6" i="20"/>
  <c r="D92" i="29"/>
  <c r="D74" i="29"/>
  <c r="D289" i="29"/>
  <c r="D101" i="29"/>
  <c r="D116" i="29"/>
  <c r="D162" i="29"/>
  <c r="D282" i="29"/>
  <c r="D31" i="29"/>
  <c r="C122" i="29"/>
  <c r="C71" i="29"/>
  <c r="C282" i="29"/>
  <c r="C167" i="29"/>
  <c r="C135" i="29"/>
  <c r="C8" i="29"/>
  <c r="C275" i="29"/>
  <c r="B6" i="18"/>
  <c r="A4" i="12"/>
  <c r="D232" i="29"/>
  <c r="B39" i="19"/>
  <c r="A4" i="25"/>
  <c r="F109" i="29"/>
  <c r="D258" i="29"/>
  <c r="D291" i="29"/>
  <c r="D168" i="29"/>
  <c r="D65" i="29"/>
  <c r="D272" i="29"/>
  <c r="D77" i="29"/>
  <c r="D125" i="29"/>
  <c r="C37" i="29"/>
  <c r="C215" i="29"/>
  <c r="C50" i="29"/>
  <c r="C249" i="29"/>
  <c r="C241" i="29"/>
  <c r="C43" i="29"/>
  <c r="C218" i="29"/>
  <c r="C212" i="29"/>
  <c r="C162" i="29"/>
  <c r="D69" i="29"/>
  <c r="F188" i="29"/>
  <c r="A4" i="8"/>
  <c r="F122" i="29"/>
  <c r="F212" i="29"/>
  <c r="D142" i="29"/>
  <c r="D94" i="29"/>
  <c r="D9" i="29"/>
  <c r="D178" i="29"/>
  <c r="D84" i="29"/>
  <c r="D247" i="29"/>
  <c r="C293" i="29"/>
  <c r="D24" i="29"/>
  <c r="C134" i="29"/>
  <c r="C146" i="29"/>
  <c r="C63" i="29"/>
  <c r="C25" i="29"/>
  <c r="C261" i="29"/>
  <c r="C145" i="29"/>
  <c r="A4" i="14"/>
  <c r="F189" i="29"/>
  <c r="C88" i="29"/>
  <c r="F17" i="29"/>
  <c r="F94" i="29"/>
  <c r="D192" i="29"/>
  <c r="D171" i="29"/>
  <c r="D186" i="29"/>
  <c r="D55" i="29"/>
  <c r="D75" i="29"/>
  <c r="D109" i="29"/>
  <c r="C126" i="29"/>
  <c r="C4" i="29"/>
  <c r="C245" i="29"/>
  <c r="C260" i="29"/>
  <c r="C34" i="29"/>
  <c r="C54" i="29"/>
  <c r="C266" i="29"/>
  <c r="C55" i="29"/>
  <c r="C279" i="29"/>
  <c r="B5" i="16"/>
  <c r="D253" i="29"/>
  <c r="D155" i="29"/>
  <c r="D100" i="29"/>
  <c r="D233" i="29"/>
  <c r="D259" i="29"/>
  <c r="D181" i="29"/>
  <c r="D203" i="29"/>
  <c r="D204" i="29"/>
  <c r="C224" i="29"/>
  <c r="C78" i="29"/>
  <c r="C237" i="29"/>
  <c r="C138" i="29"/>
  <c r="C129" i="29"/>
  <c r="C87" i="29"/>
  <c r="C104" i="29"/>
  <c r="C267" i="29"/>
  <c r="C182" i="29"/>
  <c r="D193" i="29"/>
  <c r="F199" i="29"/>
  <c r="F183" i="29"/>
  <c r="F96" i="29"/>
  <c r="F124" i="29"/>
  <c r="C291" i="29"/>
  <c r="D59" i="29"/>
  <c r="D118" i="29"/>
  <c r="D250" i="29"/>
  <c r="D46" i="29"/>
  <c r="D139" i="29"/>
  <c r="D150" i="29"/>
  <c r="D28" i="29"/>
  <c r="C280" i="29"/>
  <c r="C46" i="29"/>
  <c r="C240" i="29"/>
  <c r="C31" i="29"/>
  <c r="C143" i="29"/>
  <c r="C26" i="29"/>
  <c r="C12" i="29"/>
  <c r="C183" i="29"/>
  <c r="C109" i="29"/>
  <c r="D270" i="29"/>
  <c r="C253" i="29"/>
  <c r="F152" i="29"/>
  <c r="C285" i="29"/>
  <c r="D82" i="29"/>
  <c r="D47" i="29"/>
  <c r="D245" i="29"/>
  <c r="D145" i="29"/>
  <c r="D44" i="29"/>
  <c r="D16" i="29"/>
  <c r="D152" i="29"/>
  <c r="D83" i="29"/>
  <c r="D260" i="29"/>
  <c r="C96" i="29"/>
  <c r="C111" i="29"/>
  <c r="C32" i="29"/>
  <c r="C23" i="29"/>
  <c r="C196" i="29"/>
  <c r="C195" i="29"/>
  <c r="C222" i="29"/>
  <c r="C110" i="29"/>
  <c r="C17" i="29"/>
  <c r="C105" i="29"/>
  <c r="C209" i="29"/>
  <c r="F120" i="29"/>
  <c r="D255" i="29"/>
  <c r="F181" i="29"/>
  <c r="D103" i="29"/>
  <c r="D136" i="29"/>
  <c r="D287" i="29"/>
  <c r="D144" i="29"/>
  <c r="D241" i="29"/>
  <c r="D239" i="29"/>
  <c r="D85" i="29"/>
  <c r="D216" i="29"/>
  <c r="D230" i="29"/>
  <c r="D62" i="29"/>
  <c r="D221" i="29"/>
  <c r="C189" i="29"/>
  <c r="C236" i="29"/>
  <c r="C123" i="29"/>
  <c r="C204" i="29"/>
  <c r="C277" i="29"/>
  <c r="C94" i="29"/>
  <c r="C133" i="29"/>
  <c r="C149" i="29"/>
  <c r="C227" i="29"/>
  <c r="C13" i="29"/>
  <c r="C211" i="29"/>
  <c r="C160" i="29"/>
  <c r="Q36" i="19"/>
  <c r="O240" i="29"/>
  <c r="F242" i="29"/>
  <c r="Q37" i="19"/>
  <c r="O241" i="29"/>
  <c r="F28" i="29"/>
  <c r="F174" i="29"/>
  <c r="D138" i="29"/>
  <c r="D266" i="29"/>
  <c r="D252" i="29"/>
  <c r="D110" i="29"/>
  <c r="D13" i="29"/>
  <c r="D120" i="29"/>
  <c r="D201" i="29"/>
  <c r="D79" i="29"/>
  <c r="D194" i="29"/>
  <c r="D58" i="29"/>
  <c r="C198" i="29"/>
  <c r="D219" i="29"/>
  <c r="C239" i="29"/>
  <c r="C197" i="29"/>
  <c r="C20" i="29"/>
  <c r="C190" i="29"/>
  <c r="C107" i="29"/>
  <c r="C184" i="29"/>
  <c r="C271" i="29"/>
  <c r="C64" i="29"/>
  <c r="C60" i="29"/>
  <c r="D12" i="29"/>
  <c r="F147" i="29"/>
  <c r="D143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H18" i="14"/>
  <c r="N42" i="12"/>
  <c r="F206" i="29"/>
  <c r="F277" i="29"/>
  <c r="F238" i="29"/>
  <c r="F276" i="29"/>
  <c r="F213" i="29"/>
  <c r="F130" i="29"/>
  <c r="F262" i="29"/>
  <c r="F194" i="29"/>
  <c r="F268" i="29"/>
  <c r="F251" i="29"/>
  <c r="F241" i="29"/>
  <c r="F37" i="29"/>
  <c r="F50" i="29"/>
  <c r="F186" i="29"/>
  <c r="F79" i="29"/>
  <c r="F10" i="29"/>
  <c r="F81" i="29"/>
  <c r="F64" i="29"/>
  <c r="F135" i="29"/>
  <c r="F210" i="29"/>
  <c r="F159" i="29"/>
  <c r="F139" i="29"/>
  <c r="F67" i="29"/>
  <c r="F202" i="29"/>
  <c r="F20" i="29"/>
  <c r="F18" i="29"/>
  <c r="F54" i="29"/>
  <c r="F168" i="29"/>
  <c r="F240" i="29"/>
  <c r="F118" i="29"/>
  <c r="F42" i="29"/>
  <c r="F93" i="29"/>
  <c r="F100" i="29"/>
  <c r="F234" i="29"/>
  <c r="F29" i="29"/>
  <c r="F267" i="29"/>
  <c r="F117" i="29"/>
  <c r="F182" i="29"/>
  <c r="F151" i="29"/>
  <c r="F275" i="29"/>
  <c r="F113" i="29"/>
  <c r="F51" i="29"/>
  <c r="F175" i="29"/>
  <c r="F211" i="29"/>
  <c r="F52" i="29"/>
  <c r="F224" i="29"/>
  <c r="F60" i="29"/>
  <c r="F254" i="29"/>
  <c r="F179" i="29"/>
  <c r="F110" i="29"/>
  <c r="F140" i="29"/>
  <c r="F62" i="29"/>
  <c r="F108" i="29"/>
  <c r="F126" i="29"/>
  <c r="F167" i="29"/>
  <c r="F58" i="29"/>
  <c r="H2" i="4"/>
  <c r="W2" i="10"/>
  <c r="F161" i="29"/>
  <c r="F144" i="29"/>
  <c r="F170" i="29"/>
  <c r="F128" i="29"/>
  <c r="F57" i="29"/>
  <c r="F40" i="29"/>
  <c r="F149" i="29"/>
  <c r="F244" i="29"/>
  <c r="C294" i="29"/>
  <c r="F21" i="29"/>
  <c r="F169" i="29"/>
  <c r="F283" i="29"/>
  <c r="F258" i="29"/>
  <c r="F248" i="29"/>
  <c r="F3" i="29"/>
  <c r="F14" i="29"/>
  <c r="F278" i="29"/>
  <c r="C33" i="29"/>
  <c r="F76" i="29"/>
  <c r="F146" i="29"/>
  <c r="F293" i="29"/>
  <c r="F220" i="29"/>
  <c r="F264" i="29"/>
  <c r="F291" i="29"/>
  <c r="F229" i="29"/>
  <c r="C86" i="29"/>
  <c r="F180" i="29"/>
  <c r="F8" i="29"/>
  <c r="F198" i="29"/>
  <c r="F200" i="29"/>
  <c r="F6" i="29"/>
  <c r="F184" i="29"/>
  <c r="F98" i="29"/>
  <c r="F24" i="29"/>
  <c r="U2" i="21"/>
  <c r="C242" i="29"/>
  <c r="F49" i="29"/>
  <c r="C256" i="29"/>
  <c r="D251" i="29"/>
  <c r="C120" i="29"/>
  <c r="F123" i="29"/>
  <c r="C44" i="29"/>
  <c r="D172" i="29"/>
  <c r="C178" i="29"/>
  <c r="D163" i="29"/>
  <c r="F255" i="29"/>
  <c r="D80" i="29"/>
  <c r="F266" i="29"/>
  <c r="C158" i="29"/>
  <c r="F33" i="29"/>
  <c r="C40" i="29"/>
  <c r="F279" i="29"/>
  <c r="C144" i="29"/>
  <c r="D104" i="29"/>
  <c r="F138" i="29"/>
  <c r="D33" i="29"/>
  <c r="F253" i="29"/>
  <c r="C24" i="29"/>
  <c r="C200" i="29"/>
  <c r="C231" i="29"/>
  <c r="D167" i="29"/>
  <c r="C58" i="29"/>
  <c r="C28" i="29"/>
  <c r="D234" i="29"/>
  <c r="F78" i="29"/>
  <c r="C136" i="29"/>
  <c r="C263" i="29"/>
  <c r="C295" i="29"/>
  <c r="C62" i="29"/>
  <c r="D126" i="29"/>
  <c r="D262" i="29"/>
  <c r="F114" i="29"/>
  <c r="D99" i="29"/>
  <c r="F260" i="29"/>
  <c r="F61" i="29"/>
  <c r="D237" i="29"/>
  <c r="D78" i="29"/>
  <c r="D102" i="29"/>
  <c r="D242" i="29"/>
  <c r="D49" i="29"/>
  <c r="C49" i="29"/>
  <c r="C137" i="29"/>
  <c r="D197" i="29"/>
  <c r="D187" i="29"/>
  <c r="F141" i="29"/>
  <c r="C225" i="29"/>
  <c r="F53" i="29"/>
  <c r="C273" i="29"/>
  <c r="D88" i="29"/>
  <c r="C176" i="29"/>
  <c r="D267" i="29"/>
  <c r="F134" i="29"/>
  <c r="D90" i="29"/>
  <c r="F256" i="29"/>
  <c r="C243" i="29"/>
  <c r="F173" i="29"/>
  <c r="C159" i="29"/>
  <c r="F26" i="29"/>
  <c r="C51" i="29"/>
  <c r="D135" i="29"/>
  <c r="F207" i="29"/>
  <c r="D198" i="29"/>
  <c r="C61" i="29"/>
  <c r="C141" i="29"/>
  <c r="D96" i="29"/>
  <c r="C14" i="29"/>
  <c r="D151" i="29"/>
  <c r="D189" i="29"/>
  <c r="C11" i="29"/>
  <c r="C38" i="29"/>
  <c r="C278" i="29"/>
  <c r="D157" i="29"/>
  <c r="D67" i="29"/>
  <c r="F287" i="29"/>
  <c r="C186" i="29"/>
  <c r="D200" i="29"/>
  <c r="F263" i="29"/>
  <c r="F228" i="29"/>
  <c r="D107" i="29"/>
  <c r="F35" i="29"/>
  <c r="C286" i="29"/>
  <c r="C255" i="29"/>
  <c r="C35" i="29"/>
  <c r="F73" i="29"/>
  <c r="C10" i="29"/>
  <c r="F217" i="29"/>
  <c r="C5" i="29"/>
  <c r="D248" i="29"/>
  <c r="C262" i="29"/>
  <c r="D273" i="29"/>
  <c r="F222" i="29"/>
  <c r="D131" i="29"/>
  <c r="C165" i="29"/>
  <c r="C168" i="29"/>
  <c r="C2" i="29"/>
  <c r="D106" i="29"/>
  <c r="D244" i="29"/>
  <c r="C234" i="29"/>
  <c r="F185" i="29"/>
  <c r="C235" i="29"/>
  <c r="C289" i="29"/>
  <c r="D127" i="29"/>
  <c r="D295" i="29"/>
  <c r="D240" i="29"/>
  <c r="C131" i="29"/>
  <c r="C119" i="29"/>
  <c r="C65" i="29"/>
  <c r="D195" i="29"/>
  <c r="D263" i="29"/>
  <c r="F221" i="29"/>
  <c r="F4" i="29"/>
  <c r="C81" i="29"/>
  <c r="D217" i="29"/>
  <c r="F257" i="29"/>
  <c r="C248" i="29"/>
  <c r="D290" i="29"/>
  <c r="C22" i="29"/>
  <c r="F56" i="29"/>
  <c r="D53" i="29"/>
  <c r="D265" i="29"/>
  <c r="C101" i="29"/>
  <c r="F143" i="29"/>
  <c r="C41" i="29"/>
  <c r="C217" i="29"/>
  <c r="D176" i="29"/>
  <c r="F55" i="29"/>
  <c r="D208" i="29"/>
  <c r="F273" i="29"/>
  <c r="C118" i="29"/>
  <c r="F104" i="29"/>
  <c r="C30" i="29"/>
  <c r="F7" i="29"/>
  <c r="D112" i="29"/>
  <c r="F92" i="29"/>
  <c r="C79" i="29"/>
  <c r="C281" i="29"/>
  <c r="C205" i="29"/>
  <c r="D72" i="29"/>
  <c r="D42" i="29"/>
  <c r="D210" i="29"/>
  <c r="F84" i="29"/>
  <c r="D179" i="29"/>
  <c r="C142" i="29"/>
  <c r="D54" i="29"/>
  <c r="F95" i="29"/>
  <c r="D156" i="29"/>
  <c r="D133" i="29"/>
  <c r="C264" i="29"/>
  <c r="C124" i="29"/>
  <c r="C192" i="29"/>
  <c r="D56" i="29"/>
  <c r="C56" i="29"/>
  <c r="D2" i="45"/>
  <c r="D50" i="29"/>
  <c r="C48" i="29"/>
  <c r="D57" i="29"/>
  <c r="D288" i="29"/>
  <c r="C220" i="29"/>
  <c r="F116" i="29"/>
  <c r="C269" i="29"/>
  <c r="D140" i="29"/>
  <c r="C3" i="29"/>
  <c r="D292" i="29"/>
  <c r="F38" i="29"/>
  <c r="D34" i="29"/>
  <c r="C89" i="29"/>
  <c r="F176" i="29"/>
  <c r="F63" i="29"/>
  <c r="F223" i="29"/>
  <c r="C128" i="29"/>
  <c r="D121" i="29"/>
  <c r="C98" i="29"/>
  <c r="D285" i="29"/>
  <c r="F83" i="29"/>
  <c r="C92" i="29"/>
  <c r="C117" i="29"/>
  <c r="D20" i="29"/>
  <c r="D51" i="29"/>
  <c r="D105" i="29"/>
  <c r="F192" i="29"/>
  <c r="D30" i="29"/>
  <c r="C272" i="29"/>
  <c r="F193" i="29"/>
  <c r="D249" i="29"/>
  <c r="D191" i="29"/>
  <c r="D3" i="29"/>
  <c r="D14" i="29"/>
  <c r="F285" i="29"/>
  <c r="F218" i="29"/>
  <c r="D129" i="29"/>
  <c r="D111" i="29"/>
  <c r="D202" i="29"/>
  <c r="C85" i="29"/>
  <c r="F65" i="29"/>
  <c r="F145" i="29"/>
  <c r="C265" i="29"/>
  <c r="D274" i="29"/>
  <c r="D70" i="29"/>
  <c r="F196" i="29"/>
  <c r="D243" i="29"/>
  <c r="D134" i="29"/>
  <c r="D7" i="29"/>
  <c r="C274" i="29"/>
  <c r="T2" i="12"/>
  <c r="D21" i="29"/>
  <c r="D38" i="29"/>
  <c r="C164" i="29"/>
  <c r="C151" i="29"/>
  <c r="F90" i="29"/>
  <c r="C177" i="29"/>
  <c r="D64" i="29"/>
  <c r="D159" i="29"/>
  <c r="D173" i="29"/>
  <c r="F131" i="29"/>
  <c r="D165" i="29"/>
  <c r="F32" i="29"/>
  <c r="C250" i="29"/>
  <c r="F150" i="29"/>
  <c r="C103" i="29"/>
  <c r="D257" i="29"/>
  <c r="C47" i="29"/>
  <c r="D169" i="29"/>
  <c r="F155" i="29"/>
  <c r="D236" i="29"/>
  <c r="F261" i="29"/>
  <c r="C99" i="29"/>
  <c r="D166" i="29"/>
  <c r="D222" i="29"/>
  <c r="C201" i="29"/>
  <c r="F5" i="29"/>
  <c r="F59" i="29"/>
  <c r="D183" i="29"/>
  <c r="C139" i="29"/>
  <c r="D71" i="29"/>
  <c r="D68" i="29"/>
  <c r="D246" i="29"/>
  <c r="C59" i="29"/>
  <c r="D91" i="29"/>
  <c r="F226" i="29"/>
  <c r="W2" i="13"/>
  <c r="D214" i="29"/>
  <c r="D279" i="29"/>
  <c r="F12" i="29"/>
  <c r="C18" i="29"/>
  <c r="D40" i="29"/>
  <c r="F36" i="29"/>
  <c r="D15" i="29"/>
  <c r="F172" i="29"/>
  <c r="D39" i="29"/>
  <c r="F105" i="29"/>
  <c r="C42" i="29"/>
  <c r="F247" i="29"/>
  <c r="C102" i="29"/>
  <c r="D180" i="29"/>
  <c r="D160" i="29"/>
  <c r="D124" i="29"/>
  <c r="D87" i="29"/>
  <c r="C161" i="29"/>
  <c r="F86" i="29"/>
  <c r="C73" i="29"/>
  <c r="D22" i="29"/>
  <c r="C166" i="29"/>
  <c r="D17" i="29"/>
  <c r="F136" i="29"/>
  <c r="D76" i="29"/>
  <c r="F97" i="29"/>
  <c r="F157" i="29"/>
  <c r="C29" i="29"/>
  <c r="D164" i="29"/>
  <c r="D211" i="29"/>
  <c r="C68" i="29"/>
  <c r="F216" i="29"/>
  <c r="C170" i="29"/>
  <c r="C6" i="29"/>
  <c r="D2" i="29"/>
  <c r="F34" i="29"/>
  <c r="F163" i="29"/>
  <c r="F19" i="29"/>
  <c r="D271" i="29"/>
  <c r="C185" i="29"/>
  <c r="F111" i="29"/>
  <c r="D119" i="29"/>
  <c r="D225" i="29"/>
  <c r="C70" i="29"/>
  <c r="C230" i="29"/>
  <c r="D27" i="29"/>
  <c r="C140" i="29"/>
  <c r="D170" i="29"/>
  <c r="C232" i="29"/>
  <c r="D294" i="29"/>
  <c r="F112" i="29"/>
  <c r="C258" i="29"/>
  <c r="F233" i="29"/>
  <c r="C108" i="29"/>
  <c r="F74" i="29"/>
  <c r="C95" i="29"/>
  <c r="D114" i="29"/>
  <c r="D231" i="29"/>
  <c r="D158" i="29"/>
  <c r="C150" i="29"/>
  <c r="C194" i="29"/>
  <c r="C172" i="29"/>
  <c r="D261" i="29"/>
  <c r="C187" i="29"/>
  <c r="F30" i="29"/>
  <c r="C257" i="29"/>
  <c r="C36" i="29"/>
  <c r="C219" i="29"/>
  <c r="D149" i="29"/>
  <c r="F272" i="29"/>
  <c r="D113" i="29"/>
  <c r="F25" i="29"/>
  <c r="D73" i="29"/>
  <c r="C171" i="29"/>
  <c r="C27" i="29"/>
  <c r="F102" i="29"/>
  <c r="D108" i="29"/>
  <c r="C247" i="29"/>
  <c r="C53" i="29"/>
  <c r="D281" i="29"/>
  <c r="F165" i="29"/>
  <c r="D275" i="29"/>
  <c r="F259" i="29"/>
  <c r="C121" i="29"/>
  <c r="F201" i="29"/>
  <c r="C290" i="29"/>
  <c r="F70" i="29"/>
  <c r="C175" i="29"/>
  <c r="D207" i="29"/>
  <c r="F204" i="29"/>
  <c r="D235" i="29"/>
  <c r="F160" i="29"/>
  <c r="C221" i="29"/>
  <c r="C268" i="29"/>
  <c r="F80" i="29"/>
  <c r="C9" i="29"/>
  <c r="F231" i="29"/>
  <c r="D190" i="29"/>
  <c r="D256" i="29"/>
  <c r="F132" i="29"/>
  <c r="D128" i="29"/>
  <c r="F154" i="29"/>
  <c r="D41" i="29"/>
  <c r="H13" i="20"/>
  <c r="G53" i="16"/>
  <c r="G52" i="16"/>
  <c r="H12" i="20"/>
  <c r="E40" i="33"/>
  <c r="E32" i="33"/>
  <c r="G51" i="16"/>
  <c r="Q53" i="33"/>
  <c r="S53" i="33"/>
  <c r="Q58" i="33"/>
  <c r="H11" i="20"/>
  <c r="G17" i="20"/>
  <c r="Q8" i="31"/>
  <c r="S8" i="31"/>
  <c r="R16" i="12"/>
  <c r="R18" i="12"/>
  <c r="L33" i="12"/>
  <c r="H17" i="20"/>
  <c r="M32" i="12"/>
  <c r="N32" i="12"/>
  <c r="S19" i="20"/>
  <c r="E20" i="20"/>
  <c r="G2" i="25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B23" i="12"/>
  <c r="D19" i="6"/>
  <c r="D6" i="18"/>
  <c r="C16" i="6"/>
  <c r="E80" i="10"/>
  <c r="E37" i="10"/>
  <c r="E75" i="10"/>
  <c r="D7" i="16"/>
  <c r="C17" i="6"/>
  <c r="H31" i="12"/>
  <c r="K33" i="12"/>
  <c r="N32" i="8"/>
  <c r="G13" i="6"/>
  <c r="J31" i="12"/>
  <c r="C82" i="10"/>
  <c r="C38" i="10"/>
  <c r="D31" i="12"/>
  <c r="C7" i="6"/>
  <c r="D7" i="6"/>
  <c r="G7" i="6"/>
  <c r="T9" i="20"/>
  <c r="H33" i="12"/>
  <c r="E33" i="12"/>
  <c r="E31" i="12"/>
  <c r="F31" i="12"/>
  <c r="G33" i="12"/>
  <c r="K31" i="12"/>
  <c r="G19" i="20"/>
  <c r="E76" i="10"/>
  <c r="E85" i="10"/>
  <c r="J33" i="8"/>
  <c r="J33" i="9"/>
  <c r="K33" i="8"/>
  <c r="G8" i="6"/>
  <c r="B16" i="6"/>
  <c r="G18" i="6"/>
  <c r="N33" i="8"/>
  <c r="B31" i="12"/>
  <c r="N11" i="8"/>
  <c r="R33" i="12"/>
  <c r="B21" i="6"/>
  <c r="M33" i="12"/>
  <c r="B32" i="12"/>
  <c r="F22" i="14"/>
  <c r="C23" i="12"/>
  <c r="F21" i="6"/>
  <c r="C7" i="16"/>
  <c r="I31" i="12"/>
  <c r="L31" i="12"/>
  <c r="B9" i="6"/>
  <c r="O41" i="10"/>
  <c r="O76" i="10"/>
  <c r="O85" i="10"/>
  <c r="E23" i="12"/>
  <c r="L23" i="12"/>
  <c r="Q32" i="31"/>
  <c r="S32" i="31"/>
  <c r="Q96" i="31"/>
  <c r="S96" i="31"/>
  <c r="J23" i="12"/>
  <c r="Q22" i="31"/>
  <c r="S22" i="31"/>
  <c r="S28" i="31"/>
  <c r="H85" i="10"/>
  <c r="Q136" i="31"/>
  <c r="S136" i="31"/>
  <c r="N70" i="10"/>
  <c r="N72" i="10"/>
  <c r="N69" i="10"/>
  <c r="Q38" i="31"/>
  <c r="S38" i="31"/>
  <c r="N6" i="18"/>
  <c r="L43" i="12"/>
  <c r="F23" i="12"/>
  <c r="M6" i="18"/>
  <c r="Q57" i="31"/>
  <c r="S57" i="31"/>
  <c r="Q94" i="31"/>
  <c r="S94" i="31"/>
  <c r="Q24" i="31"/>
  <c r="S24" i="31"/>
  <c r="H23" i="12"/>
  <c r="Q80" i="31"/>
  <c r="S80" i="31"/>
  <c r="Q53" i="31"/>
  <c r="S53" i="31"/>
  <c r="Q77" i="31"/>
  <c r="S77" i="31"/>
  <c r="Q9" i="31"/>
  <c r="S9" i="31"/>
  <c r="Q97" i="31"/>
  <c r="S97" i="31"/>
  <c r="Q50" i="31"/>
  <c r="S50" i="31"/>
  <c r="Q71" i="31"/>
  <c r="S71" i="31"/>
  <c r="Q14" i="31"/>
  <c r="S14" i="31"/>
  <c r="Q47" i="31"/>
  <c r="S47" i="31"/>
  <c r="Q145" i="31"/>
  <c r="S145" i="31"/>
  <c r="Q29" i="31"/>
  <c r="S29" i="31"/>
  <c r="N85" i="10"/>
  <c r="Q30" i="31"/>
  <c r="S30" i="31"/>
  <c r="Q74" i="31"/>
  <c r="S74" i="31"/>
  <c r="S125" i="31"/>
  <c r="Q132" i="31"/>
  <c r="S132" i="31"/>
  <c r="Q113" i="31"/>
  <c r="S113" i="31"/>
  <c r="Q110" i="31"/>
  <c r="S110" i="31"/>
  <c r="Q135" i="31"/>
  <c r="S135" i="31"/>
  <c r="Q139" i="31"/>
  <c r="S139" i="31"/>
  <c r="Q143" i="31"/>
  <c r="S143" i="31"/>
  <c r="S63" i="31"/>
  <c r="Q102" i="31"/>
  <c r="S102" i="31"/>
  <c r="Q107" i="31"/>
  <c r="Q104" i="31"/>
  <c r="S104" i="31"/>
  <c r="Q39" i="31"/>
  <c r="S39" i="31"/>
  <c r="Q46" i="31"/>
  <c r="S46" i="31"/>
  <c r="Q75" i="10"/>
  <c r="Q83" i="10"/>
  <c r="M70" i="10"/>
  <c r="M69" i="10"/>
  <c r="F6" i="18"/>
  <c r="Q55" i="31"/>
  <c r="S55" i="31"/>
  <c r="D23" i="12"/>
  <c r="Q121" i="31"/>
  <c r="S121" i="31"/>
  <c r="M23" i="12"/>
  <c r="K41" i="10"/>
  <c r="I23" i="12"/>
  <c r="Q13" i="31"/>
  <c r="S13" i="31"/>
  <c r="Q129" i="31"/>
  <c r="S129" i="31"/>
  <c r="Q118" i="31"/>
  <c r="S118" i="31"/>
  <c r="Q66" i="31"/>
  <c r="S66" i="31"/>
  <c r="Q99" i="31"/>
  <c r="S99" i="31"/>
  <c r="L85" i="10"/>
  <c r="S107" i="31"/>
  <c r="Q131" i="31"/>
  <c r="S131" i="31"/>
  <c r="F70" i="10"/>
  <c r="K6" i="18"/>
  <c r="Q130" i="31"/>
  <c r="S130" i="31"/>
  <c r="J6" i="18"/>
  <c r="S27" i="31"/>
  <c r="O75" i="10"/>
  <c r="O77" i="10"/>
  <c r="P76" i="10"/>
  <c r="P41" i="10"/>
  <c r="Q127" i="31"/>
  <c r="S127" i="31"/>
  <c r="Q85" i="31"/>
  <c r="S85" i="31"/>
  <c r="Q124" i="31"/>
  <c r="S124" i="31"/>
  <c r="Q20" i="31"/>
  <c r="S20" i="31"/>
  <c r="Q144" i="31"/>
  <c r="S144" i="31"/>
  <c r="C30" i="12"/>
  <c r="S33" i="12"/>
  <c r="B16" i="8"/>
  <c r="C12" i="6"/>
  <c r="B24" i="12"/>
  <c r="N31" i="8"/>
  <c r="E31" i="8"/>
  <c r="G31" i="12"/>
  <c r="B17" i="6"/>
  <c r="D32" i="12"/>
  <c r="S32" i="12"/>
  <c r="J32" i="12"/>
  <c r="E32" i="12"/>
  <c r="L32" i="12"/>
  <c r="F21" i="14"/>
  <c r="J21" i="14"/>
  <c r="R6" i="18"/>
  <c r="I32" i="12"/>
  <c r="K32" i="12"/>
  <c r="F12" i="6"/>
  <c r="P24" i="12"/>
  <c r="H32" i="12"/>
  <c r="C80" i="10"/>
  <c r="C37" i="10"/>
  <c r="C75" i="10"/>
  <c r="H19" i="20"/>
  <c r="F16" i="6"/>
  <c r="L6" i="14"/>
  <c r="O33" i="12"/>
  <c r="R32" i="12"/>
  <c r="D33" i="12"/>
  <c r="N33" i="12"/>
  <c r="J33" i="12"/>
  <c r="M16" i="8"/>
  <c r="C8" i="8"/>
  <c r="C9" i="8"/>
  <c r="O32" i="12"/>
  <c r="F15" i="14"/>
  <c r="J15" i="14"/>
  <c r="F20" i="14"/>
  <c r="J20" i="14"/>
  <c r="F17" i="14"/>
  <c r="J17" i="14"/>
  <c r="F11" i="14"/>
  <c r="E19" i="20"/>
  <c r="T19" i="20"/>
  <c r="T8" i="20"/>
  <c r="F12" i="14"/>
  <c r="M39" i="10"/>
  <c r="P85" i="10"/>
  <c r="C29" i="12"/>
  <c r="F23" i="14"/>
  <c r="F13" i="14"/>
  <c r="F13" i="15"/>
  <c r="Q146" i="29"/>
  <c r="A21" i="6"/>
  <c r="G19" i="6"/>
  <c r="F19" i="8"/>
  <c r="C16" i="8"/>
  <c r="E32" i="8"/>
  <c r="J22" i="14"/>
  <c r="N31" i="12"/>
  <c r="R24" i="12"/>
  <c r="S24" i="12"/>
  <c r="B18" i="6"/>
  <c r="B19" i="6"/>
  <c r="C31" i="12"/>
  <c r="N12" i="8"/>
  <c r="G14" i="6"/>
  <c r="D15" i="6"/>
  <c r="A15" i="6"/>
  <c r="B7" i="12"/>
  <c r="C6" i="18"/>
  <c r="D9" i="6"/>
  <c r="B15" i="12"/>
  <c r="D21" i="6"/>
  <c r="G21" i="6"/>
  <c r="P23" i="12"/>
  <c r="F10" i="6"/>
  <c r="B15" i="6"/>
  <c r="D47" i="16"/>
  <c r="D47" i="17"/>
  <c r="L198" i="29"/>
  <c r="S10" i="12"/>
  <c r="B29" i="12"/>
  <c r="T80" i="10"/>
  <c r="D17" i="20"/>
  <c r="B6" i="14"/>
  <c r="G20" i="6"/>
  <c r="F9" i="6"/>
  <c r="S108" i="31"/>
  <c r="A16" i="6"/>
  <c r="D12" i="6"/>
  <c r="S51" i="31"/>
  <c r="S142" i="31"/>
  <c r="S35" i="31"/>
  <c r="S37" i="31"/>
  <c r="S140" i="31"/>
  <c r="S147" i="31"/>
  <c r="P70" i="10"/>
  <c r="P69" i="10"/>
  <c r="I69" i="10"/>
  <c r="I70" i="10"/>
  <c r="O46" i="33"/>
  <c r="O32" i="33"/>
  <c r="O18" i="12"/>
  <c r="Q43" i="33"/>
  <c r="S43" i="33"/>
  <c r="G20" i="12"/>
  <c r="Q45" i="33"/>
  <c r="Q70" i="10"/>
  <c r="N84" i="10"/>
  <c r="L70" i="10"/>
  <c r="L72" i="10"/>
  <c r="Q58" i="31"/>
  <c r="S58" i="31"/>
  <c r="G69" i="10"/>
  <c r="G70" i="10"/>
  <c r="M14" i="12"/>
  <c r="M15" i="12"/>
  <c r="I18" i="20"/>
  <c r="H13" i="12"/>
  <c r="Q38" i="33"/>
  <c r="S38" i="33"/>
  <c r="H40" i="33"/>
  <c r="H32" i="33"/>
  <c r="I12" i="20"/>
  <c r="J69" i="10"/>
  <c r="J70" i="10"/>
  <c r="J84" i="10"/>
  <c r="H21" i="12"/>
  <c r="Q44" i="31"/>
  <c r="S44" i="31"/>
  <c r="F69" i="10"/>
  <c r="J11" i="12"/>
  <c r="Q36" i="33"/>
  <c r="S36" i="33"/>
  <c r="J40" i="33"/>
  <c r="J32" i="33"/>
  <c r="I11" i="20"/>
  <c r="H9" i="33"/>
  <c r="D10" i="12"/>
  <c r="D40" i="33"/>
  <c r="D32" i="33"/>
  <c r="Q35" i="33"/>
  <c r="S35" i="33"/>
  <c r="Q6" i="18"/>
  <c r="E47" i="16"/>
  <c r="F47" i="17"/>
  <c r="W198" i="29"/>
  <c r="K8" i="12"/>
  <c r="K42" i="12"/>
  <c r="Q33" i="33"/>
  <c r="S33" i="33"/>
  <c r="K40" i="33"/>
  <c r="K32" i="33"/>
  <c r="N21" i="12"/>
  <c r="O39" i="10"/>
  <c r="H70" i="10"/>
  <c r="H84" i="10"/>
  <c r="Q54" i="33"/>
  <c r="S54" i="33"/>
  <c r="O21" i="12"/>
  <c r="G42" i="12"/>
  <c r="I12" i="33"/>
  <c r="H53" i="16"/>
  <c r="Q141" i="31"/>
  <c r="S141" i="31"/>
  <c r="Q34" i="33"/>
  <c r="S34" i="33"/>
  <c r="Q93" i="31"/>
  <c r="S93" i="31"/>
  <c r="Q87" i="31"/>
  <c r="S87" i="31"/>
  <c r="N15" i="12"/>
  <c r="F52" i="16"/>
  <c r="L16" i="12"/>
  <c r="L21" i="12"/>
  <c r="G12" i="20"/>
  <c r="Q41" i="31"/>
  <c r="S41" i="31"/>
  <c r="Q134" i="31"/>
  <c r="S134" i="31"/>
  <c r="F11" i="6"/>
  <c r="R31" i="12"/>
  <c r="C34" i="12"/>
  <c r="S31" i="12"/>
  <c r="R23" i="12"/>
  <c r="S23" i="12"/>
  <c r="P34" i="12"/>
  <c r="G12" i="6"/>
  <c r="G9" i="6"/>
  <c r="I19" i="20"/>
  <c r="J18" i="20"/>
  <c r="I84" i="10"/>
  <c r="M36" i="12"/>
  <c r="J11" i="20"/>
  <c r="I9" i="33"/>
  <c r="I51" i="16"/>
  <c r="N22" i="12"/>
  <c r="L84" i="10"/>
  <c r="H15" i="12"/>
  <c r="H36" i="12"/>
  <c r="G72" i="10"/>
  <c r="G84" i="10"/>
  <c r="K15" i="12"/>
  <c r="N36" i="12"/>
  <c r="J12" i="33"/>
  <c r="K53" i="16"/>
  <c r="P84" i="10"/>
  <c r="P72" i="10"/>
  <c r="J19" i="20"/>
  <c r="J51" i="16"/>
  <c r="K11" i="20"/>
  <c r="J9" i="33"/>
  <c r="N37" i="12"/>
  <c r="K9" i="33"/>
  <c r="L11" i="20"/>
  <c r="K51" i="16"/>
  <c r="M11" i="20"/>
  <c r="F243" i="29"/>
  <c r="F66" i="29"/>
  <c r="F280" i="29"/>
  <c r="F171" i="29"/>
  <c r="F9" i="29"/>
  <c r="F148" i="29"/>
  <c r="W2" i="11"/>
  <c r="F11" i="29"/>
  <c r="O2" i="8"/>
  <c r="F23" i="29"/>
  <c r="F87" i="29"/>
  <c r="F232" i="29"/>
  <c r="F190" i="29"/>
  <c r="F270" i="29"/>
  <c r="F48" i="29"/>
  <c r="F250" i="29"/>
  <c r="F235" i="29"/>
  <c r="F31" i="29"/>
  <c r="F121" i="29"/>
  <c r="F214" i="29"/>
  <c r="F99" i="29"/>
  <c r="F82" i="29"/>
  <c r="F153" i="29"/>
  <c r="F69" i="29"/>
  <c r="F2" i="22"/>
  <c r="F137" i="29"/>
  <c r="F129" i="29"/>
  <c r="F72" i="29"/>
  <c r="F39" i="29"/>
  <c r="F89" i="29"/>
  <c r="F178" i="29"/>
  <c r="F219" i="29"/>
  <c r="F245" i="29"/>
  <c r="F295" i="29"/>
  <c r="F45" i="29"/>
  <c r="F68" i="29"/>
  <c r="U2" i="20"/>
  <c r="F227" i="29"/>
  <c r="F71" i="29"/>
  <c r="F294" i="29"/>
  <c r="F203" i="29"/>
  <c r="F177" i="29"/>
  <c r="F274" i="29"/>
  <c r="F46" i="29"/>
  <c r="F265" i="29"/>
  <c r="F164" i="29"/>
  <c r="F269" i="29"/>
  <c r="F15" i="29"/>
  <c r="F166" i="29"/>
  <c r="F209" i="29"/>
  <c r="F75" i="29"/>
  <c r="F271" i="29"/>
  <c r="F249" i="29"/>
  <c r="F239" i="29"/>
  <c r="F91" i="29"/>
  <c r="U2" i="18"/>
  <c r="R2" i="16"/>
  <c r="D2" i="27"/>
  <c r="F142" i="29"/>
  <c r="F292" i="29"/>
  <c r="F236" i="29"/>
  <c r="F215" i="29"/>
  <c r="U2" i="19"/>
  <c r="O2" i="15"/>
  <c r="G2" i="26"/>
  <c r="F119" i="29"/>
  <c r="F27" i="29"/>
  <c r="F284" i="29"/>
  <c r="F197" i="29"/>
  <c r="N2" i="14"/>
  <c r="P2" i="9"/>
  <c r="G2" i="6"/>
  <c r="F195" i="29"/>
  <c r="F13" i="29"/>
  <c r="F290" i="29"/>
  <c r="F208" i="29"/>
  <c r="G2" i="7"/>
  <c r="S2" i="17"/>
  <c r="D2" i="28"/>
  <c r="F246" i="29"/>
  <c r="F106" i="29"/>
  <c r="D2" i="46"/>
  <c r="F288" i="29"/>
  <c r="F282" i="29"/>
  <c r="F125" i="29"/>
  <c r="F77" i="29"/>
  <c r="F2" i="29"/>
  <c r="F22" i="29"/>
  <c r="F289" i="29"/>
  <c r="F237" i="29"/>
  <c r="F162" i="29"/>
  <c r="F252" i="29"/>
  <c r="F133" i="29"/>
  <c r="F230" i="29"/>
  <c r="F103" i="29"/>
  <c r="F286" i="29"/>
  <c r="F191" i="29"/>
  <c r="F115" i="29"/>
  <c r="F187" i="29"/>
  <c r="F107" i="29"/>
  <c r="F41" i="29"/>
  <c r="F156" i="29"/>
  <c r="B190" i="29"/>
  <c r="B130" i="29"/>
  <c r="B203" i="29"/>
  <c r="B256" i="29"/>
  <c r="B15" i="29"/>
  <c r="B284" i="29"/>
  <c r="B269" i="29"/>
  <c r="B56" i="29"/>
  <c r="B77" i="29"/>
  <c r="B182" i="29"/>
  <c r="B105" i="29"/>
  <c r="B289" i="29"/>
  <c r="B8" i="29"/>
  <c r="B210" i="29"/>
  <c r="B206" i="29"/>
  <c r="B127" i="29"/>
  <c r="B117" i="29"/>
  <c r="B179" i="29"/>
  <c r="B231" i="29"/>
  <c r="B281" i="29"/>
  <c r="B247" i="29"/>
  <c r="B25" i="29"/>
  <c r="B14" i="29"/>
  <c r="B241" i="29"/>
  <c r="B132" i="29"/>
  <c r="B265" i="29"/>
  <c r="B34" i="29"/>
  <c r="B72" i="29"/>
  <c r="B192" i="29"/>
  <c r="B70" i="29"/>
  <c r="B92" i="29"/>
  <c r="B73" i="29"/>
  <c r="B49" i="29"/>
  <c r="B103" i="29"/>
  <c r="B140" i="29"/>
  <c r="B155" i="29"/>
  <c r="B32" i="29"/>
  <c r="B68" i="29"/>
  <c r="B63" i="29"/>
  <c r="B248" i="29"/>
  <c r="B226" i="29"/>
  <c r="B123" i="29"/>
  <c r="B82" i="29"/>
  <c r="B121" i="29"/>
  <c r="B13" i="29"/>
  <c r="B294" i="29"/>
  <c r="B3" i="29"/>
  <c r="B217" i="29"/>
  <c r="B262" i="29"/>
  <c r="B288" i="29"/>
  <c r="B213" i="29"/>
  <c r="B160" i="29"/>
  <c r="B253" i="29"/>
  <c r="B99" i="29"/>
  <c r="B151" i="29"/>
  <c r="B165" i="29"/>
  <c r="B279" i="29"/>
  <c r="B243" i="29"/>
  <c r="B174" i="29"/>
  <c r="B16" i="29"/>
  <c r="B295" i="29"/>
  <c r="B273" i="29"/>
  <c r="B52" i="29"/>
  <c r="B286" i="29"/>
  <c r="B186" i="29"/>
  <c r="B161" i="29"/>
  <c r="B100" i="29"/>
  <c r="B145" i="29"/>
  <c r="B51" i="29"/>
  <c r="B205" i="29"/>
  <c r="B224" i="29"/>
  <c r="B228" i="29"/>
  <c r="B87" i="29"/>
  <c r="B83" i="29"/>
  <c r="B12" i="29"/>
  <c r="B37" i="29"/>
  <c r="B147" i="29"/>
  <c r="B153" i="29"/>
  <c r="B21" i="29"/>
  <c r="B215" i="29"/>
  <c r="B71" i="29"/>
  <c r="B229" i="29"/>
  <c r="B189" i="29"/>
  <c r="B59" i="29"/>
  <c r="B104" i="29"/>
  <c r="B152" i="29"/>
  <c r="B150" i="29"/>
  <c r="B280" i="29"/>
  <c r="B267" i="29"/>
  <c r="B207" i="29"/>
  <c r="B64" i="29"/>
  <c r="B17" i="29"/>
  <c r="B102" i="29"/>
  <c r="B46" i="29"/>
  <c r="B128" i="29"/>
  <c r="B55" i="29"/>
  <c r="B187" i="29"/>
  <c r="B144" i="29"/>
  <c r="B238" i="29"/>
  <c r="B76" i="29"/>
  <c r="B139" i="29"/>
  <c r="B172" i="29"/>
  <c r="B135" i="29"/>
  <c r="B48" i="29"/>
  <c r="B79" i="29"/>
  <c r="B242" i="29"/>
  <c r="B177" i="29"/>
  <c r="B157" i="29"/>
  <c r="B90" i="29"/>
  <c r="B194" i="29"/>
  <c r="B60" i="29"/>
  <c r="B227" i="29"/>
  <c r="B239" i="29"/>
  <c r="B200" i="29"/>
  <c r="B171" i="29"/>
  <c r="B167" i="29"/>
  <c r="B249" i="29"/>
  <c r="B75" i="29"/>
  <c r="B154" i="29"/>
  <c r="B251" i="29"/>
  <c r="B116" i="29"/>
  <c r="B185" i="29"/>
  <c r="B276" i="29"/>
  <c r="B156" i="29"/>
  <c r="B6" i="29"/>
  <c r="B39" i="29"/>
  <c r="B137" i="29"/>
  <c r="B257" i="29"/>
  <c r="B35" i="29"/>
  <c r="B183" i="29"/>
  <c r="B143" i="29"/>
  <c r="B41" i="29"/>
  <c r="B124" i="29"/>
  <c r="B240" i="29"/>
  <c r="B222" i="29"/>
  <c r="B223" i="29"/>
  <c r="B272" i="29"/>
  <c r="B80" i="29"/>
  <c r="B230" i="29"/>
  <c r="B110" i="29"/>
  <c r="B98" i="29"/>
  <c r="B201" i="29"/>
  <c r="B162" i="29"/>
  <c r="B204" i="29"/>
  <c r="B36" i="29"/>
  <c r="B53" i="29"/>
  <c r="B184" i="29"/>
  <c r="B54" i="29"/>
  <c r="B180" i="29"/>
  <c r="B38" i="29"/>
  <c r="B23" i="29"/>
  <c r="B254" i="29"/>
  <c r="B244" i="29"/>
  <c r="B40" i="29"/>
  <c r="B219" i="29"/>
  <c r="B287" i="29"/>
  <c r="B291" i="29"/>
  <c r="B255" i="29"/>
  <c r="B290" i="29"/>
  <c r="B196" i="29"/>
  <c r="B4" i="29"/>
  <c r="B84" i="29"/>
  <c r="B197" i="29"/>
  <c r="B129" i="29"/>
  <c r="B5" i="29"/>
  <c r="B96" i="29"/>
  <c r="B234" i="29"/>
  <c r="B270" i="29"/>
  <c r="B237" i="29"/>
  <c r="B285" i="29"/>
  <c r="B212" i="29"/>
  <c r="B74" i="29"/>
  <c r="B292" i="29"/>
  <c r="B44" i="29"/>
  <c r="B120" i="29"/>
  <c r="B86" i="29"/>
  <c r="B85" i="29"/>
  <c r="B202" i="29"/>
  <c r="B278" i="29"/>
  <c r="B42" i="29"/>
  <c r="B169" i="29"/>
  <c r="B159" i="29"/>
  <c r="H1" i="4"/>
  <c r="B163" i="29"/>
  <c r="B235" i="29"/>
  <c r="B271" i="29"/>
  <c r="B81" i="29"/>
  <c r="B131" i="29"/>
  <c r="B216" i="29"/>
  <c r="B115" i="29"/>
  <c r="B126" i="29"/>
  <c r="B7" i="29"/>
  <c r="B94" i="29"/>
  <c r="B264" i="29"/>
  <c r="B9" i="29"/>
  <c r="B166" i="29"/>
  <c r="B277" i="29"/>
  <c r="B158" i="29"/>
  <c r="B106" i="29"/>
  <c r="B168" i="29"/>
  <c r="B141" i="29"/>
  <c r="B133" i="29"/>
  <c r="B142" i="29"/>
  <c r="B209" i="29"/>
  <c r="B148" i="29"/>
  <c r="B275" i="29"/>
  <c r="B24" i="29"/>
  <c r="B22" i="29"/>
  <c r="B175" i="29"/>
  <c r="B274" i="29"/>
  <c r="B178" i="29"/>
  <c r="B108" i="29"/>
  <c r="B119" i="29"/>
  <c r="B283" i="29"/>
  <c r="B250" i="29"/>
  <c r="B170" i="29"/>
  <c r="B252" i="29"/>
  <c r="B173" i="29"/>
  <c r="B114" i="29"/>
  <c r="B111" i="29"/>
  <c r="B109" i="29"/>
  <c r="B78" i="29"/>
  <c r="B112" i="29"/>
  <c r="B58" i="29"/>
  <c r="B208" i="29"/>
  <c r="B43" i="29"/>
  <c r="B95" i="29"/>
  <c r="B26" i="29"/>
  <c r="B146" i="29"/>
  <c r="B29" i="29"/>
  <c r="B188" i="29"/>
  <c r="B113" i="29"/>
  <c r="B11" i="29"/>
  <c r="B97" i="29"/>
  <c r="B89" i="29"/>
  <c r="B181" i="29"/>
  <c r="B47" i="29"/>
  <c r="B2" i="29"/>
  <c r="B93" i="29"/>
  <c r="B10" i="29"/>
  <c r="B214" i="29"/>
  <c r="B107" i="29"/>
  <c r="B134" i="29"/>
  <c r="B246" i="29"/>
  <c r="B50" i="29"/>
  <c r="B18" i="29"/>
  <c r="B61" i="29"/>
  <c r="B266" i="29"/>
  <c r="B101" i="29"/>
  <c r="B198" i="29"/>
  <c r="B33" i="29"/>
  <c r="B67" i="29"/>
  <c r="B65" i="29"/>
  <c r="B211" i="29"/>
  <c r="B218" i="29"/>
  <c r="B28" i="29"/>
  <c r="B261" i="29"/>
  <c r="B91" i="29"/>
  <c r="B221" i="29"/>
  <c r="B220" i="29"/>
  <c r="B268" i="29"/>
  <c r="B260" i="29"/>
  <c r="B232" i="29"/>
  <c r="B45" i="29"/>
  <c r="B195" i="29"/>
  <c r="B27" i="29"/>
  <c r="B176" i="29"/>
  <c r="B30" i="29"/>
  <c r="B191" i="29"/>
  <c r="B20" i="29"/>
  <c r="B31" i="29"/>
  <c r="B263" i="29"/>
  <c r="B164" i="29"/>
  <c r="B149" i="29"/>
  <c r="B225" i="29"/>
  <c r="B259" i="29"/>
  <c r="B118" i="29"/>
  <c r="B233" i="29"/>
  <c r="B69" i="29"/>
  <c r="R36" i="18"/>
  <c r="A11" i="4"/>
  <c r="H11" i="14"/>
  <c r="H20" i="8"/>
  <c r="H19" i="8"/>
  <c r="F36" i="12"/>
  <c r="H37" i="12"/>
  <c r="M21" i="12"/>
  <c r="Q12" i="31"/>
  <c r="S12" i="31"/>
  <c r="Q72" i="10"/>
  <c r="O69" i="10"/>
  <c r="O70" i="10"/>
  <c r="M37" i="12"/>
  <c r="H72" i="10"/>
  <c r="K18" i="20"/>
  <c r="K43" i="12"/>
  <c r="I21" i="12"/>
  <c r="I15" i="12"/>
  <c r="I22" i="12"/>
  <c r="Q43" i="31"/>
  <c r="S43" i="31"/>
  <c r="Q84" i="10"/>
  <c r="H22" i="12"/>
  <c r="J53" i="16"/>
  <c r="K13" i="20"/>
  <c r="L36" i="12"/>
  <c r="E21" i="12"/>
  <c r="L22" i="12"/>
  <c r="L38" i="12"/>
  <c r="H38" i="12"/>
  <c r="K70" i="10"/>
  <c r="K69" i="10"/>
  <c r="I72" i="10"/>
  <c r="F21" i="20"/>
  <c r="J72" i="10"/>
  <c r="G21" i="12"/>
  <c r="L13" i="20"/>
  <c r="K12" i="33"/>
  <c r="D15" i="12"/>
  <c r="K36" i="12"/>
  <c r="M84" i="10"/>
  <c r="M72" i="10"/>
  <c r="R66" i="10"/>
  <c r="I42" i="12"/>
  <c r="Q22" i="20"/>
  <c r="Q49" i="33"/>
  <c r="L9" i="33"/>
  <c r="L51" i="16"/>
  <c r="N38" i="12"/>
  <c r="I76" i="10"/>
  <c r="G37" i="12"/>
  <c r="H69" i="10"/>
  <c r="J15" i="12"/>
  <c r="F72" i="10"/>
  <c r="F84" i="10"/>
  <c r="G21" i="20"/>
  <c r="Q92" i="31"/>
  <c r="S92" i="31"/>
  <c r="Q95" i="31"/>
  <c r="S95" i="31"/>
  <c r="Q98" i="31"/>
  <c r="S98" i="31"/>
  <c r="H10" i="33"/>
  <c r="H52" i="16"/>
  <c r="S21" i="31"/>
  <c r="S112" i="31"/>
  <c r="Q137" i="31"/>
  <c r="S137" i="31"/>
  <c r="M42" i="12"/>
  <c r="M43" i="12"/>
  <c r="S18" i="31"/>
  <c r="O15" i="12"/>
  <c r="S33" i="31"/>
  <c r="Q60" i="31"/>
  <c r="S60" i="31"/>
  <c r="S69" i="31"/>
  <c r="S72" i="31"/>
  <c r="S75" i="31"/>
  <c r="S78" i="31"/>
  <c r="S81" i="31"/>
  <c r="Q116" i="31"/>
  <c r="S116" i="31"/>
  <c r="E42" i="12"/>
  <c r="E43" i="12"/>
  <c r="E15" i="12"/>
  <c r="S84" i="31"/>
  <c r="K23" i="12"/>
  <c r="G43" i="12"/>
  <c r="O6" i="18"/>
  <c r="Q73" i="31"/>
  <c r="S73" i="31"/>
  <c r="J13" i="20"/>
  <c r="F19" i="20"/>
  <c r="Q52" i="31"/>
  <c r="S52" i="31"/>
  <c r="Q76" i="31"/>
  <c r="S76" i="31"/>
  <c r="Q79" i="31"/>
  <c r="S79" i="31"/>
  <c r="Q91" i="31"/>
  <c r="S91" i="31"/>
  <c r="M40" i="33"/>
  <c r="M32" i="33"/>
  <c r="Q42" i="31"/>
  <c r="S42" i="31"/>
  <c r="S123" i="31"/>
  <c r="Q68" i="31"/>
  <c r="S68" i="31"/>
  <c r="S126" i="31"/>
  <c r="Q146" i="31"/>
  <c r="S146" i="31"/>
  <c r="Q114" i="31"/>
  <c r="S114" i="31"/>
  <c r="Q138" i="31"/>
  <c r="S138" i="31"/>
  <c r="S37" i="33"/>
  <c r="Q26" i="31"/>
  <c r="S26" i="31"/>
  <c r="S64" i="31"/>
  <c r="F16" i="12"/>
  <c r="F46" i="33"/>
  <c r="Q46" i="33"/>
  <c r="Q39" i="33"/>
  <c r="S39" i="33"/>
  <c r="S67" i="31"/>
  <c r="S70" i="31"/>
  <c r="S34" i="31"/>
  <c r="Q61" i="31"/>
  <c r="S61" i="31"/>
  <c r="S100" i="31"/>
  <c r="Q120" i="31"/>
  <c r="S120" i="31"/>
  <c r="K21" i="12"/>
  <c r="S103" i="31"/>
  <c r="S109" i="31"/>
  <c r="S117" i="31"/>
  <c r="A9" i="6"/>
  <c r="C15" i="6"/>
  <c r="N6" i="8"/>
  <c r="E70" i="10"/>
  <c r="E69" i="10"/>
  <c r="D49" i="16"/>
  <c r="B38" i="8"/>
  <c r="N16" i="8"/>
  <c r="R30" i="12"/>
  <c r="S30" i="12"/>
  <c r="C11" i="6"/>
  <c r="S34" i="12"/>
  <c r="R34" i="12"/>
  <c r="M6" i="14"/>
  <c r="C19" i="20"/>
  <c r="C17" i="20"/>
  <c r="C69" i="10"/>
  <c r="C70" i="10"/>
  <c r="F32" i="8"/>
  <c r="K12" i="8"/>
  <c r="F31" i="8"/>
  <c r="E6" i="18"/>
  <c r="S6" i="18"/>
  <c r="E16" i="8"/>
  <c r="F16" i="8"/>
  <c r="F15" i="8"/>
  <c r="G15" i="8"/>
  <c r="F21" i="8"/>
  <c r="K21" i="8"/>
  <c r="F27" i="8"/>
  <c r="F24" i="8"/>
  <c r="J24" i="8"/>
  <c r="J24" i="9"/>
  <c r="F30" i="8"/>
  <c r="F29" i="8"/>
  <c r="J29" i="8"/>
  <c r="J29" i="9"/>
  <c r="G16" i="6"/>
  <c r="R12" i="12"/>
  <c r="S12" i="12"/>
  <c r="B9" i="8"/>
  <c r="K31" i="8"/>
  <c r="C41" i="10"/>
  <c r="C76" i="10"/>
  <c r="E21" i="20"/>
  <c r="S16" i="12"/>
  <c r="B9" i="14"/>
  <c r="S14" i="12"/>
  <c r="C21" i="6"/>
  <c r="B11" i="6"/>
  <c r="C9" i="6"/>
  <c r="J23" i="14"/>
  <c r="F25" i="8"/>
  <c r="G15" i="6"/>
  <c r="D11" i="6"/>
  <c r="G11" i="6"/>
  <c r="G10" i="6"/>
  <c r="J19" i="8"/>
  <c r="J19" i="9"/>
  <c r="C38" i="8"/>
  <c r="B34" i="12"/>
  <c r="H40" i="32"/>
  <c r="R13" i="12"/>
  <c r="E17" i="20"/>
  <c r="J12" i="14"/>
  <c r="M8" i="8"/>
  <c r="N8" i="8"/>
  <c r="S18" i="12"/>
  <c r="S17" i="31"/>
  <c r="T82" i="10"/>
  <c r="S45" i="33"/>
  <c r="Q39" i="18"/>
  <c r="Q39" i="19"/>
  <c r="J22" i="13"/>
  <c r="AB123" i="29"/>
  <c r="R1" i="16"/>
  <c r="D1" i="46"/>
  <c r="G1" i="6"/>
  <c r="G1" i="7"/>
  <c r="W1" i="11"/>
  <c r="N1" i="14"/>
  <c r="D1" i="28"/>
  <c r="G1" i="25"/>
  <c r="W1" i="13"/>
  <c r="O1" i="8"/>
  <c r="U1" i="21"/>
  <c r="G1" i="26"/>
  <c r="U1" i="20"/>
  <c r="F1" i="22"/>
  <c r="U1" i="18"/>
  <c r="S1" i="17"/>
  <c r="U1" i="19"/>
  <c r="D1" i="27"/>
  <c r="O1" i="15"/>
  <c r="P1" i="9"/>
  <c r="W1" i="10"/>
  <c r="D1" i="45"/>
  <c r="T1" i="12"/>
  <c r="B16" i="4"/>
  <c r="E13" i="4"/>
  <c r="C13" i="4"/>
  <c r="F16" i="4"/>
  <c r="C6" i="19"/>
  <c r="K199" i="29"/>
  <c r="C16" i="4"/>
  <c r="H16" i="4"/>
  <c r="G28" i="13"/>
  <c r="Y129" i="29"/>
  <c r="H13" i="4"/>
  <c r="J13" i="21"/>
  <c r="AA249" i="29"/>
  <c r="G16" i="4"/>
  <c r="H20" i="9"/>
  <c r="S48" i="29"/>
  <c r="D16" i="4"/>
  <c r="B16" i="7"/>
  <c r="J8" i="29"/>
  <c r="B13" i="4"/>
  <c r="G13" i="4"/>
  <c r="D13" i="4"/>
  <c r="F13" i="4"/>
  <c r="E16" i="4"/>
  <c r="O6" i="19"/>
  <c r="AF199" i="29"/>
  <c r="R36" i="19"/>
  <c r="AH240" i="29"/>
  <c r="O243" i="29"/>
  <c r="K13" i="21"/>
  <c r="AB249" i="29"/>
  <c r="C41" i="11"/>
  <c r="K88" i="29"/>
  <c r="I22" i="13"/>
  <c r="AA123" i="29"/>
  <c r="G22" i="12"/>
  <c r="H22" i="13"/>
  <c r="Z123" i="29"/>
  <c r="H21" i="13"/>
  <c r="Z122" i="29"/>
  <c r="I38" i="13"/>
  <c r="H39" i="12"/>
  <c r="Q40" i="33"/>
  <c r="N21" i="13"/>
  <c r="AF122" i="29"/>
  <c r="M22" i="12"/>
  <c r="N22" i="13"/>
  <c r="AF123" i="29"/>
  <c r="K37" i="12"/>
  <c r="O70" i="11"/>
  <c r="O72" i="10"/>
  <c r="O84" i="10"/>
  <c r="L39" i="12"/>
  <c r="M38" i="13"/>
  <c r="M9" i="33"/>
  <c r="N11" i="20"/>
  <c r="L40" i="12"/>
  <c r="M36" i="13"/>
  <c r="L37" i="12"/>
  <c r="I38" i="12"/>
  <c r="R69" i="10"/>
  <c r="T69" i="10"/>
  <c r="E22" i="12"/>
  <c r="F22" i="13"/>
  <c r="X123" i="29"/>
  <c r="F21" i="13"/>
  <c r="X122" i="29"/>
  <c r="G16" i="13"/>
  <c r="Y117" i="29"/>
  <c r="F21" i="12"/>
  <c r="N40" i="12"/>
  <c r="O38" i="13"/>
  <c r="N39" i="12"/>
  <c r="F32" i="33"/>
  <c r="Q32" i="33"/>
  <c r="P15" i="13"/>
  <c r="AH116" i="29"/>
  <c r="O36" i="12"/>
  <c r="O22" i="12"/>
  <c r="D36" i="12"/>
  <c r="E15" i="13"/>
  <c r="W116" i="29"/>
  <c r="D22" i="12"/>
  <c r="L21" i="13"/>
  <c r="AD122" i="29"/>
  <c r="K22" i="12"/>
  <c r="K38" i="12"/>
  <c r="N42" i="13"/>
  <c r="H10" i="20"/>
  <c r="F19" i="33"/>
  <c r="H20" i="20"/>
  <c r="L12" i="33"/>
  <c r="L53" i="16"/>
  <c r="M13" i="20"/>
  <c r="M13" i="21"/>
  <c r="AD249" i="29"/>
  <c r="H40" i="12"/>
  <c r="G10" i="21"/>
  <c r="X246" i="29"/>
  <c r="L22" i="13"/>
  <c r="AD123" i="29"/>
  <c r="J36" i="12"/>
  <c r="K15" i="13"/>
  <c r="AC116" i="29"/>
  <c r="J22" i="12"/>
  <c r="I36" i="12"/>
  <c r="J15" i="13"/>
  <c r="AB116" i="29"/>
  <c r="K84" i="10"/>
  <c r="K72" i="10"/>
  <c r="K70" i="11"/>
  <c r="K19" i="20"/>
  <c r="F37" i="12"/>
  <c r="G36" i="13"/>
  <c r="R70" i="10"/>
  <c r="T66" i="10"/>
  <c r="T70" i="10"/>
  <c r="T84" i="10"/>
  <c r="L18" i="20"/>
  <c r="I16" i="20"/>
  <c r="F15" i="13"/>
  <c r="X116" i="29"/>
  <c r="E36" i="12"/>
  <c r="J12" i="20"/>
  <c r="J12" i="21"/>
  <c r="AA248" i="29"/>
  <c r="I10" i="33"/>
  <c r="I52" i="16"/>
  <c r="J30" i="8"/>
  <c r="J30" i="9"/>
  <c r="E84" i="10"/>
  <c r="E70" i="11"/>
  <c r="E72" i="10"/>
  <c r="T72" i="10"/>
  <c r="S20" i="12"/>
  <c r="D7" i="13"/>
  <c r="S7" i="12"/>
  <c r="C7" i="13"/>
  <c r="K6" i="8"/>
  <c r="E6" i="9"/>
  <c r="J21" i="8"/>
  <c r="J21" i="9"/>
  <c r="C72" i="10"/>
  <c r="C70" i="11"/>
  <c r="C84" i="10"/>
  <c r="E16" i="9"/>
  <c r="N45" i="29"/>
  <c r="G16" i="8"/>
  <c r="G16" i="9"/>
  <c r="R45" i="29"/>
  <c r="F35" i="8"/>
  <c r="J31" i="8"/>
  <c r="J31" i="9"/>
  <c r="T6" i="18"/>
  <c r="E6" i="19"/>
  <c r="L217" i="29"/>
  <c r="C39" i="8"/>
  <c r="C38" i="9"/>
  <c r="M38" i="8"/>
  <c r="N37" i="8"/>
  <c r="K25" i="8"/>
  <c r="J25" i="8"/>
  <c r="J25" i="9"/>
  <c r="C76" i="11"/>
  <c r="K107" i="29"/>
  <c r="C85" i="10"/>
  <c r="F32" i="9"/>
  <c r="Q59" i="29"/>
  <c r="J32" i="8"/>
  <c r="J32" i="9"/>
  <c r="K32" i="8"/>
  <c r="B39" i="8"/>
  <c r="B38" i="9"/>
  <c r="K14" i="8"/>
  <c r="K14" i="9"/>
  <c r="U43" i="29"/>
  <c r="D43" i="17"/>
  <c r="L195" i="29"/>
  <c r="D24" i="17"/>
  <c r="L176" i="29"/>
  <c r="D40" i="17"/>
  <c r="L192" i="29"/>
  <c r="D15" i="17"/>
  <c r="L167" i="29"/>
  <c r="D29" i="17"/>
  <c r="L181" i="29"/>
  <c r="D22" i="17"/>
  <c r="L174" i="29"/>
  <c r="D37" i="17"/>
  <c r="L189" i="29"/>
  <c r="D16" i="17"/>
  <c r="L168" i="29"/>
  <c r="D14" i="17"/>
  <c r="L166" i="29"/>
  <c r="D18" i="17"/>
  <c r="L170" i="29"/>
  <c r="D19" i="17"/>
  <c r="L171" i="29"/>
  <c r="D33" i="17"/>
  <c r="L185" i="29"/>
  <c r="D17" i="17"/>
  <c r="L169" i="29"/>
  <c r="E10" i="21"/>
  <c r="L246" i="29"/>
  <c r="D13" i="17"/>
  <c r="L165" i="29"/>
  <c r="D35" i="17"/>
  <c r="L187" i="29"/>
  <c r="D45" i="17"/>
  <c r="L196" i="29"/>
  <c r="D20" i="17"/>
  <c r="L172" i="29"/>
  <c r="D36" i="17"/>
  <c r="L188" i="29"/>
  <c r="D39" i="17"/>
  <c r="L191" i="29"/>
  <c r="E12" i="21"/>
  <c r="L248" i="29"/>
  <c r="D28" i="17"/>
  <c r="L180" i="29"/>
  <c r="D23" i="17"/>
  <c r="L175" i="29"/>
  <c r="D38" i="17"/>
  <c r="L190" i="29"/>
  <c r="D32" i="17"/>
  <c r="L184" i="29"/>
  <c r="L249" i="29"/>
  <c r="D11" i="17"/>
  <c r="L163" i="29"/>
  <c r="D10" i="17"/>
  <c r="L162" i="29"/>
  <c r="D34" i="17"/>
  <c r="L186" i="29"/>
  <c r="D9" i="17"/>
  <c r="L161" i="29"/>
  <c r="D21" i="17"/>
  <c r="L173" i="29"/>
  <c r="D26" i="17"/>
  <c r="L178" i="29"/>
  <c r="D27" i="17"/>
  <c r="L179" i="29"/>
  <c r="D12" i="17"/>
  <c r="L164" i="29"/>
  <c r="E16" i="21"/>
  <c r="B8" i="7"/>
  <c r="B7" i="7"/>
  <c r="J2" i="29"/>
  <c r="B14" i="7"/>
  <c r="D8" i="21"/>
  <c r="B17" i="7"/>
  <c r="J9" i="29"/>
  <c r="B12" i="7"/>
  <c r="J5" i="29"/>
  <c r="B18" i="7"/>
  <c r="J10" i="29"/>
  <c r="B19" i="7"/>
  <c r="J11" i="29"/>
  <c r="B10" i="7"/>
  <c r="B20" i="7"/>
  <c r="B13" i="7"/>
  <c r="J6" i="29"/>
  <c r="F10" i="13"/>
  <c r="X111" i="29"/>
  <c r="J10" i="13"/>
  <c r="AB111" i="29"/>
  <c r="E14" i="13"/>
  <c r="W115" i="29"/>
  <c r="L76" i="11"/>
  <c r="AC107" i="29"/>
  <c r="I24" i="13"/>
  <c r="AA125" i="29"/>
  <c r="F41" i="11"/>
  <c r="W88" i="29"/>
  <c r="H8" i="13"/>
  <c r="Z109" i="29"/>
  <c r="P23" i="13"/>
  <c r="AH124" i="29"/>
  <c r="M28" i="9"/>
  <c r="P55" i="29"/>
  <c r="I14" i="13"/>
  <c r="AA115" i="29"/>
  <c r="R29" i="13"/>
  <c r="P130" i="29"/>
  <c r="M38" i="9"/>
  <c r="M26" i="11"/>
  <c r="AD78" i="29"/>
  <c r="H32" i="11"/>
  <c r="Y82" i="29"/>
  <c r="I28" i="13"/>
  <c r="AA129" i="29"/>
  <c r="M15" i="15"/>
  <c r="P57" i="11"/>
  <c r="AG97" i="29"/>
  <c r="F62" i="11"/>
  <c r="D22" i="28"/>
  <c r="AK291" i="29"/>
  <c r="Q10" i="11"/>
  <c r="H7" i="13"/>
  <c r="Z108" i="29"/>
  <c r="N10" i="11"/>
  <c r="N12" i="11"/>
  <c r="M15" i="9"/>
  <c r="P44" i="29"/>
  <c r="G25" i="13"/>
  <c r="Y126" i="29"/>
  <c r="O62" i="11"/>
  <c r="AF100" i="29"/>
  <c r="B18" i="28"/>
  <c r="AI287" i="29"/>
  <c r="Q61" i="11"/>
  <c r="AH99" i="29"/>
  <c r="N19" i="11"/>
  <c r="C17" i="28"/>
  <c r="AJ286" i="29"/>
  <c r="I22" i="11"/>
  <c r="N15" i="9"/>
  <c r="L15" i="9"/>
  <c r="V44" i="29"/>
  <c r="Q25" i="11"/>
  <c r="N28" i="11"/>
  <c r="M26" i="13"/>
  <c r="AE127" i="29"/>
  <c r="D27" i="13"/>
  <c r="P20" i="11"/>
  <c r="AG74" i="29"/>
  <c r="C19" i="46"/>
  <c r="AM26" i="29"/>
  <c r="D8" i="28"/>
  <c r="AK277" i="29"/>
  <c r="G24" i="13"/>
  <c r="Y125" i="29"/>
  <c r="D28" i="13"/>
  <c r="S50" i="11"/>
  <c r="P92" i="29"/>
  <c r="O57" i="11"/>
  <c r="AF97" i="29"/>
  <c r="R28" i="13"/>
  <c r="P129" i="29"/>
  <c r="G61" i="11"/>
  <c r="X99" i="29"/>
  <c r="G26" i="13"/>
  <c r="Y127" i="29"/>
  <c r="I65" i="11"/>
  <c r="L71" i="11"/>
  <c r="AC105" i="29"/>
  <c r="Q60" i="11"/>
  <c r="N19" i="9"/>
  <c r="L19" i="9"/>
  <c r="V47" i="29"/>
  <c r="Q20" i="11"/>
  <c r="AH74" i="29"/>
  <c r="P13" i="11"/>
  <c r="S76" i="11"/>
  <c r="P107" i="29"/>
  <c r="O8" i="11"/>
  <c r="AF66" i="29"/>
  <c r="S34" i="11"/>
  <c r="P83" i="29"/>
  <c r="M17" i="15"/>
  <c r="J62" i="11"/>
  <c r="AA100" i="29"/>
  <c r="O45" i="11"/>
  <c r="AF89" i="29"/>
  <c r="M19" i="9"/>
  <c r="P47" i="29"/>
  <c r="H71" i="11"/>
  <c r="Y105" i="29"/>
  <c r="J50" i="11"/>
  <c r="R12" i="13"/>
  <c r="P113" i="29"/>
  <c r="K7" i="11"/>
  <c r="K9" i="11"/>
  <c r="M28" i="13"/>
  <c r="AE129" i="29"/>
  <c r="L57" i="11"/>
  <c r="AC97" i="29"/>
  <c r="H51" i="11"/>
  <c r="Y93" i="29"/>
  <c r="O27" i="13"/>
  <c r="AG128" i="29"/>
  <c r="K10" i="11"/>
  <c r="L16" i="15"/>
  <c r="P149" i="29"/>
  <c r="F71" i="11"/>
  <c r="W105" i="29"/>
  <c r="K24" i="13"/>
  <c r="AC125" i="29"/>
  <c r="H32" i="13"/>
  <c r="Z133" i="29"/>
  <c r="I11" i="13"/>
  <c r="AA112" i="29"/>
  <c r="H76" i="11"/>
  <c r="Y107" i="29"/>
  <c r="D9" i="28"/>
  <c r="AK278" i="29"/>
  <c r="I17" i="11"/>
  <c r="Z72" i="29"/>
  <c r="G25" i="11"/>
  <c r="N24" i="9"/>
  <c r="H28" i="11"/>
  <c r="G17" i="11"/>
  <c r="X72" i="29"/>
  <c r="H19" i="11"/>
  <c r="I44" i="11"/>
  <c r="N8" i="11"/>
  <c r="AE66" i="29"/>
  <c r="S60" i="11"/>
  <c r="P98" i="29"/>
  <c r="R25" i="13"/>
  <c r="P126" i="29"/>
  <c r="J71" i="11"/>
  <c r="AA105" i="29"/>
  <c r="N31" i="11"/>
  <c r="F23" i="11"/>
  <c r="M62" i="11"/>
  <c r="AD100" i="29"/>
  <c r="L22" i="11"/>
  <c r="P12" i="13"/>
  <c r="AH113" i="29"/>
  <c r="H56" i="11"/>
  <c r="Y96" i="29"/>
  <c r="S56" i="11"/>
  <c r="P96" i="29"/>
  <c r="J44" i="11"/>
  <c r="K28" i="11"/>
  <c r="I14" i="11"/>
  <c r="Z70" i="29"/>
  <c r="R24" i="13"/>
  <c r="P125" i="29"/>
  <c r="Q32" i="11"/>
  <c r="AH82" i="29"/>
  <c r="F16" i="11"/>
  <c r="L19" i="11"/>
  <c r="G13" i="11"/>
  <c r="D7" i="28"/>
  <c r="AK276" i="29"/>
  <c r="H14" i="11"/>
  <c r="Y70" i="29"/>
  <c r="N62" i="11"/>
  <c r="AE100" i="29"/>
  <c r="G71" i="11"/>
  <c r="X105" i="29"/>
  <c r="N13" i="13"/>
  <c r="AF114" i="29"/>
  <c r="B21" i="28"/>
  <c r="AI290" i="29"/>
  <c r="I31" i="11"/>
  <c r="L28" i="11"/>
  <c r="F26" i="13"/>
  <c r="X127" i="29"/>
  <c r="M17" i="11"/>
  <c r="AD72" i="29"/>
  <c r="S61" i="11"/>
  <c r="P99" i="29"/>
  <c r="M71" i="11"/>
  <c r="AD105" i="29"/>
  <c r="S16" i="11"/>
  <c r="P71" i="29"/>
  <c r="L7" i="15"/>
  <c r="P141" i="29"/>
  <c r="K51" i="11"/>
  <c r="AB93" i="29"/>
  <c r="O31" i="11"/>
  <c r="M16" i="11"/>
  <c r="L11" i="11"/>
  <c r="AC68" i="29"/>
  <c r="J23" i="11"/>
  <c r="AA76" i="29"/>
  <c r="M57" i="11"/>
  <c r="AD97" i="29"/>
  <c r="H31" i="11"/>
  <c r="P28" i="11"/>
  <c r="I32" i="11"/>
  <c r="Z82" i="29"/>
  <c r="H8" i="11"/>
  <c r="Y66" i="29"/>
  <c r="P47" i="11"/>
  <c r="AG91" i="29"/>
  <c r="G51" i="11"/>
  <c r="X93" i="29"/>
  <c r="S66" i="11"/>
  <c r="P102" i="29"/>
  <c r="J29" i="11"/>
  <c r="AA80" i="29"/>
  <c r="S40" i="11"/>
  <c r="B23" i="28"/>
  <c r="AI292" i="29"/>
  <c r="F67" i="11"/>
  <c r="K29" i="11"/>
  <c r="AB80" i="29"/>
  <c r="H52" i="11"/>
  <c r="Y94" i="29"/>
  <c r="G28" i="11"/>
  <c r="N14" i="9"/>
  <c r="I25" i="11"/>
  <c r="J10" i="11"/>
  <c r="J12" i="11"/>
  <c r="N55" i="11"/>
  <c r="L20" i="11"/>
  <c r="AC74" i="29"/>
  <c r="B14" i="28"/>
  <c r="AI283" i="29"/>
  <c r="S70" i="11"/>
  <c r="C13" i="26"/>
  <c r="F25" i="11"/>
  <c r="M7" i="9"/>
  <c r="P37" i="29"/>
  <c r="S11" i="11"/>
  <c r="P68" i="29"/>
  <c r="B9" i="28"/>
  <c r="AI278" i="29"/>
  <c r="L13" i="13"/>
  <c r="AD114" i="29"/>
  <c r="P62" i="11"/>
  <c r="AG100" i="29"/>
  <c r="F17" i="13"/>
  <c r="X118" i="29"/>
  <c r="G19" i="11"/>
  <c r="L55" i="11"/>
  <c r="L22" i="15"/>
  <c r="P155" i="29"/>
  <c r="F55" i="11"/>
  <c r="B19" i="28"/>
  <c r="AI288" i="29"/>
  <c r="N13" i="9"/>
  <c r="C12" i="28"/>
  <c r="AJ281" i="29"/>
  <c r="F65" i="11"/>
  <c r="F28" i="11"/>
  <c r="I26" i="13"/>
  <c r="AA127" i="29"/>
  <c r="C20" i="28"/>
  <c r="AJ289" i="29"/>
  <c r="K67" i="11"/>
  <c r="AB103" i="29"/>
  <c r="H16" i="11"/>
  <c r="M12" i="9"/>
  <c r="P41" i="29"/>
  <c r="O52" i="11"/>
  <c r="AF94" i="29"/>
  <c r="H25" i="13"/>
  <c r="Z126" i="29"/>
  <c r="I16" i="11"/>
  <c r="L16" i="11"/>
  <c r="S71" i="11"/>
  <c r="P105" i="29"/>
  <c r="O25" i="13"/>
  <c r="AG126" i="29"/>
  <c r="L27" i="13"/>
  <c r="AD128" i="29"/>
  <c r="C17" i="46"/>
  <c r="AM24" i="29"/>
  <c r="R30" i="13"/>
  <c r="P131" i="29"/>
  <c r="R71" i="11"/>
  <c r="O105" i="29"/>
  <c r="P17" i="11"/>
  <c r="AG72" i="29"/>
  <c r="C11" i="26"/>
  <c r="K55" i="11"/>
  <c r="N52" i="11"/>
  <c r="AE94" i="29"/>
  <c r="K17" i="11"/>
  <c r="AB72" i="29"/>
  <c r="S41" i="11"/>
  <c r="P88" i="29"/>
  <c r="J13" i="13"/>
  <c r="AB114" i="29"/>
  <c r="C10" i="28"/>
  <c r="AJ279" i="29"/>
  <c r="P26" i="11"/>
  <c r="AG78" i="29"/>
  <c r="N45" i="11"/>
  <c r="AE89" i="29"/>
  <c r="M26" i="9"/>
  <c r="P53" i="29"/>
  <c r="H44" i="11"/>
  <c r="R21" i="13"/>
  <c r="P122" i="29"/>
  <c r="G46" i="11"/>
  <c r="X90" i="29"/>
  <c r="R8" i="13"/>
  <c r="P109" i="29"/>
  <c r="N10" i="9"/>
  <c r="G34" i="11"/>
  <c r="O22" i="11"/>
  <c r="O16" i="11"/>
  <c r="Q35" i="11"/>
  <c r="AH84" i="29"/>
  <c r="Q11" i="11"/>
  <c r="AH68" i="29"/>
  <c r="H55" i="11"/>
  <c r="H28" i="13"/>
  <c r="Z129" i="29"/>
  <c r="K57" i="11"/>
  <c r="AB97" i="29"/>
  <c r="L50" i="11"/>
  <c r="S65" i="11"/>
  <c r="P101" i="29"/>
  <c r="M11" i="11"/>
  <c r="AD68" i="29"/>
  <c r="M28" i="11"/>
  <c r="P60" i="11"/>
  <c r="J61" i="11"/>
  <c r="AA99" i="29"/>
  <c r="B16" i="28"/>
  <c r="K50" i="11"/>
  <c r="K8" i="11"/>
  <c r="AB66" i="29"/>
  <c r="L7" i="11"/>
  <c r="G47" i="11"/>
  <c r="X91" i="29"/>
  <c r="O14" i="11"/>
  <c r="AF70" i="29"/>
  <c r="M16" i="9"/>
  <c r="P45" i="29"/>
  <c r="O28" i="13"/>
  <c r="AG129" i="29"/>
  <c r="J45" i="11"/>
  <c r="AA89" i="29"/>
  <c r="I19" i="11"/>
  <c r="M14" i="11"/>
  <c r="AD70" i="29"/>
  <c r="F52" i="11"/>
  <c r="H23" i="11"/>
  <c r="Y76" i="29"/>
  <c r="P10" i="11"/>
  <c r="P12" i="11"/>
  <c r="Q57" i="11"/>
  <c r="AH97" i="29"/>
  <c r="I25" i="13"/>
  <c r="AA126" i="29"/>
  <c r="Q34" i="11"/>
  <c r="P65" i="11"/>
  <c r="G10" i="11"/>
  <c r="S55" i="11"/>
  <c r="P95" i="29"/>
  <c r="S19" i="11"/>
  <c r="P73" i="29"/>
  <c r="K71" i="11"/>
  <c r="AB105" i="29"/>
  <c r="H26" i="13"/>
  <c r="Z127" i="29"/>
  <c r="S46" i="11"/>
  <c r="P90" i="29"/>
  <c r="O19" i="11"/>
  <c r="N11" i="13"/>
  <c r="AF112" i="29"/>
  <c r="K22" i="11"/>
  <c r="M11" i="9"/>
  <c r="P40" i="29"/>
  <c r="P28" i="13"/>
  <c r="AH129" i="29"/>
  <c r="H10" i="13"/>
  <c r="Z111" i="29"/>
  <c r="D25" i="13"/>
  <c r="C12" i="26"/>
  <c r="I67" i="11"/>
  <c r="Z103" i="29"/>
  <c r="S23" i="11"/>
  <c r="P76" i="29"/>
  <c r="S57" i="11"/>
  <c r="P97" i="29"/>
  <c r="D12" i="28"/>
  <c r="AK281" i="29"/>
  <c r="L6" i="15"/>
  <c r="P140" i="29"/>
  <c r="G32" i="11"/>
  <c r="X82" i="29"/>
  <c r="D16" i="28"/>
  <c r="AK285" i="29" s="1"/>
  <c r="N22" i="11"/>
  <c r="L23" i="15"/>
  <c r="P156" i="29"/>
  <c r="J38" i="11"/>
  <c r="P17" i="13"/>
  <c r="AH118" i="29"/>
  <c r="C26" i="46"/>
  <c r="AM33" i="29"/>
  <c r="D10" i="26"/>
  <c r="K18" i="13"/>
  <c r="AC119" i="29"/>
  <c r="R7" i="13"/>
  <c r="P108" i="29"/>
  <c r="K9" i="13"/>
  <c r="AC110" i="29"/>
  <c r="K52" i="11"/>
  <c r="AB94" i="29"/>
  <c r="M44" i="11"/>
  <c r="I62" i="11"/>
  <c r="Z100" i="29"/>
  <c r="G50" i="11"/>
  <c r="H13" i="13"/>
  <c r="Z114" i="29"/>
  <c r="G22" i="11"/>
  <c r="M7" i="15"/>
  <c r="N7" i="15"/>
  <c r="S26" i="11"/>
  <c r="P78" i="29"/>
  <c r="M8" i="9"/>
  <c r="C24" i="46"/>
  <c r="AM31" i="29"/>
  <c r="R26" i="13"/>
  <c r="P127" i="29"/>
  <c r="S29" i="11"/>
  <c r="P80" i="29"/>
  <c r="M65" i="11"/>
  <c r="O34" i="11"/>
  <c r="P71" i="11"/>
  <c r="AG105" i="29"/>
  <c r="K61" i="11"/>
  <c r="AB99" i="29"/>
  <c r="J25" i="11"/>
  <c r="I35" i="11"/>
  <c r="Z84" i="29"/>
  <c r="N57" i="11"/>
  <c r="AE97" i="29"/>
  <c r="J16" i="11"/>
  <c r="M35" i="11"/>
  <c r="AD84" i="29"/>
  <c r="K25" i="13"/>
  <c r="AC126" i="29"/>
  <c r="S35" i="11"/>
  <c r="P84" i="29"/>
  <c r="J13" i="11"/>
  <c r="F57" i="11"/>
  <c r="G60" i="11"/>
  <c r="F22" i="11"/>
  <c r="J60" i="11"/>
  <c r="N26" i="11"/>
  <c r="AE78" i="29"/>
  <c r="C18" i="28"/>
  <c r="AJ287" i="29"/>
  <c r="F14" i="11"/>
  <c r="L61" i="11"/>
  <c r="AC99" i="29"/>
  <c r="J20" i="11"/>
  <c r="AA74" i="29"/>
  <c r="P23" i="11"/>
  <c r="AG76" i="29"/>
  <c r="F56" i="11"/>
  <c r="O25" i="11"/>
  <c r="J12" i="13"/>
  <c r="AB113" i="29"/>
  <c r="P8" i="13"/>
  <c r="AH109" i="29"/>
  <c r="Q14" i="11"/>
  <c r="AH70" i="29"/>
  <c r="S14" i="11"/>
  <c r="P70" i="29"/>
  <c r="R15" i="13"/>
  <c r="P116" i="29"/>
  <c r="G20" i="13"/>
  <c r="Y121" i="29"/>
  <c r="G35" i="11"/>
  <c r="X84" i="29"/>
  <c r="N30" i="9"/>
  <c r="O30" i="9"/>
  <c r="L13" i="15"/>
  <c r="P146" i="29"/>
  <c r="I26" i="11"/>
  <c r="Z78" i="29"/>
  <c r="N25" i="9"/>
  <c r="H20" i="11"/>
  <c r="Y74" i="29"/>
  <c r="L11" i="13"/>
  <c r="AD112" i="29"/>
  <c r="M20" i="9"/>
  <c r="P48" i="29"/>
  <c r="F10" i="11"/>
  <c r="F44" i="11"/>
  <c r="G8" i="13"/>
  <c r="Y109" i="29"/>
  <c r="P13" i="13"/>
  <c r="AH114" i="29"/>
  <c r="M22" i="15"/>
  <c r="M25" i="9"/>
  <c r="P52" i="29"/>
  <c r="I71" i="11"/>
  <c r="Z105" i="29"/>
  <c r="Q17" i="11"/>
  <c r="AH72" i="29"/>
  <c r="B13" i="28"/>
  <c r="AI282" i="29"/>
  <c r="Q44" i="11"/>
  <c r="L8" i="11"/>
  <c r="AC66" i="29"/>
  <c r="P45" i="11"/>
  <c r="AG89" i="29"/>
  <c r="L17" i="11"/>
  <c r="AC72" i="29"/>
  <c r="I23" i="11"/>
  <c r="Z76" i="29"/>
  <c r="C27" i="46"/>
  <c r="AM34" i="29"/>
  <c r="H50" i="11"/>
  <c r="O46" i="11"/>
  <c r="AF90" i="29"/>
  <c r="P55" i="11"/>
  <c r="G38" i="11"/>
  <c r="X86" i="29"/>
  <c r="D11" i="28"/>
  <c r="AK280" i="29"/>
  <c r="G14" i="11"/>
  <c r="X70" i="29"/>
  <c r="B6" i="28"/>
  <c r="H47" i="11"/>
  <c r="Y91" i="29"/>
  <c r="R10" i="13"/>
  <c r="P111" i="29"/>
  <c r="F32" i="11"/>
  <c r="M14" i="9"/>
  <c r="P43" i="29"/>
  <c r="C21" i="46"/>
  <c r="AM28" i="29"/>
  <c r="K47" i="11"/>
  <c r="AB91" i="29"/>
  <c r="N10" i="13"/>
  <c r="AF111" i="29"/>
  <c r="M13" i="11"/>
  <c r="O50" i="11"/>
  <c r="J26" i="11"/>
  <c r="AA78" i="29"/>
  <c r="N47" i="11"/>
  <c r="AE91" i="29"/>
  <c r="H7" i="11"/>
  <c r="Y65" i="29"/>
  <c r="C9" i="26"/>
  <c r="Q62" i="11"/>
  <c r="AH100" i="29"/>
  <c r="L44" i="11"/>
  <c r="L26" i="11"/>
  <c r="AC78" i="29"/>
  <c r="R17" i="13"/>
  <c r="P118" i="29"/>
  <c r="P46" i="11"/>
  <c r="AG90" i="29"/>
  <c r="L67" i="11"/>
  <c r="AC103" i="29"/>
  <c r="M6" i="9"/>
  <c r="P36" i="29"/>
  <c r="S51" i="11"/>
  <c r="P93" i="29"/>
  <c r="R19" i="13"/>
  <c r="P120" i="29"/>
  <c r="F60" i="11"/>
  <c r="P8" i="11"/>
  <c r="AG66" i="29"/>
  <c r="H16" i="13"/>
  <c r="Z117" i="29"/>
  <c r="M51" i="11"/>
  <c r="AD93" i="29"/>
  <c r="M24" i="9"/>
  <c r="P51" i="29"/>
  <c r="N32" i="11"/>
  <c r="AE82" i="29"/>
  <c r="F7" i="11"/>
  <c r="R7" i="11"/>
  <c r="N17" i="11"/>
  <c r="AE72" i="29"/>
  <c r="O13" i="13"/>
  <c r="AG114" i="29"/>
  <c r="D11" i="26"/>
  <c r="M47" i="11"/>
  <c r="AD91" i="29"/>
  <c r="B17" i="28"/>
  <c r="B25" i="28" s="1"/>
  <c r="AI286" i="29"/>
  <c r="M7" i="11"/>
  <c r="R27" i="13"/>
  <c r="P128" i="29"/>
  <c r="O61" i="11"/>
  <c r="AF99" i="29"/>
  <c r="F19" i="11"/>
  <c r="K13" i="11"/>
  <c r="M8" i="11"/>
  <c r="AD66" i="29"/>
  <c r="J14" i="11"/>
  <c r="AA70" i="29"/>
  <c r="O65" i="11"/>
  <c r="D12" i="26"/>
  <c r="H22" i="11"/>
  <c r="S22" i="11"/>
  <c r="P75" i="29"/>
  <c r="Q47" i="11"/>
  <c r="AH91" i="29"/>
  <c r="O17" i="11"/>
  <c r="AF72" i="29"/>
  <c r="P11" i="13"/>
  <c r="AH112" i="29"/>
  <c r="F45" i="11"/>
  <c r="I13" i="11"/>
  <c r="R23" i="13"/>
  <c r="P124" i="29"/>
  <c r="Q52" i="11"/>
  <c r="AH94" i="29"/>
  <c r="F28" i="13"/>
  <c r="X129" i="29"/>
  <c r="M14" i="15"/>
  <c r="G11" i="13"/>
  <c r="Y112" i="29"/>
  <c r="L52" i="11"/>
  <c r="AC94" i="29"/>
  <c r="S44" i="11"/>
  <c r="I60" i="11"/>
  <c r="G62" i="11"/>
  <c r="X100" i="29"/>
  <c r="I10" i="11"/>
  <c r="C9" i="28"/>
  <c r="AJ278" i="29"/>
  <c r="M27" i="9"/>
  <c r="P54" i="29"/>
  <c r="C14" i="28"/>
  <c r="AJ283" i="29"/>
  <c r="D9" i="26"/>
  <c r="R9" i="13"/>
  <c r="P110" i="29"/>
  <c r="K38" i="11"/>
  <c r="AB86" i="29"/>
  <c r="F11" i="13"/>
  <c r="X112" i="29"/>
  <c r="P25" i="13"/>
  <c r="AH126" i="29"/>
  <c r="C11" i="28"/>
  <c r="AJ280" i="29"/>
  <c r="O29" i="11"/>
  <c r="AF80" i="29"/>
  <c r="P10" i="13"/>
  <c r="AH111" i="29"/>
  <c r="M10" i="11"/>
  <c r="I57" i="11"/>
  <c r="Z97" i="29"/>
  <c r="F20" i="13"/>
  <c r="X121" i="29"/>
  <c r="M30" i="9"/>
  <c r="P57" i="29"/>
  <c r="C14" i="46"/>
  <c r="AM21" i="29"/>
  <c r="M22" i="11"/>
  <c r="S20" i="11"/>
  <c r="P74" i="29"/>
  <c r="Q8" i="11"/>
  <c r="AH66" i="29"/>
  <c r="R16" i="13"/>
  <c r="P117" i="29"/>
  <c r="K11" i="11"/>
  <c r="AB68" i="29"/>
  <c r="C25" i="46"/>
  <c r="AM32" i="29"/>
  <c r="J34" i="11"/>
  <c r="C23" i="46"/>
  <c r="AM30" i="29"/>
  <c r="L11" i="15"/>
  <c r="P144" i="29"/>
  <c r="L25" i="11"/>
  <c r="H10" i="11"/>
  <c r="Y67" i="29"/>
  <c r="C19" i="28"/>
  <c r="AJ288" i="29"/>
  <c r="M12" i="15"/>
  <c r="L62" i="11"/>
  <c r="AC100" i="29"/>
  <c r="R33" i="13"/>
  <c r="P134" i="29"/>
  <c r="Q26" i="11"/>
  <c r="AH78" i="29"/>
  <c r="O26" i="13"/>
  <c r="AG127" i="29"/>
  <c r="R42" i="13"/>
  <c r="C20" i="46"/>
  <c r="AM27" i="29"/>
  <c r="K46" i="11"/>
  <c r="AB90" i="29"/>
  <c r="K65" i="11"/>
  <c r="S28" i="11"/>
  <c r="P79" i="29"/>
  <c r="P67" i="11"/>
  <c r="AG103" i="29"/>
  <c r="J51" i="11"/>
  <c r="AA93" i="29"/>
  <c r="G44" i="11"/>
  <c r="K14" i="13"/>
  <c r="AC115" i="29"/>
  <c r="N65" i="11"/>
  <c r="L56" i="11"/>
  <c r="AC96" i="29"/>
  <c r="C21" i="28"/>
  <c r="AJ290" i="29"/>
  <c r="H65" i="11"/>
  <c r="L21" i="15"/>
  <c r="P154" i="29"/>
  <c r="L46" i="11"/>
  <c r="AC90" i="29"/>
  <c r="N25" i="11"/>
  <c r="F25" i="13"/>
  <c r="X126" i="29"/>
  <c r="G67" i="11"/>
  <c r="X103" i="29"/>
  <c r="R20" i="13"/>
  <c r="P121" i="29"/>
  <c r="C16" i="46"/>
  <c r="AM23" i="29"/>
  <c r="Q23" i="11"/>
  <c r="AH76" i="29"/>
  <c r="P22" i="11"/>
  <c r="G8" i="11"/>
  <c r="N18" i="13"/>
  <c r="AF119" i="29"/>
  <c r="J20" i="13"/>
  <c r="AB121" i="29"/>
  <c r="F31" i="11"/>
  <c r="H35" i="11"/>
  <c r="Y84" i="29"/>
  <c r="D19" i="28"/>
  <c r="AK288" i="29"/>
  <c r="M19" i="15"/>
  <c r="E16" i="13"/>
  <c r="W117" i="29"/>
  <c r="N51" i="11"/>
  <c r="AE93" i="29"/>
  <c r="K56" i="11"/>
  <c r="AB96" i="29"/>
  <c r="G14" i="13"/>
  <c r="Y115" i="29"/>
  <c r="K35" i="11"/>
  <c r="AB84" i="29"/>
  <c r="G26" i="11"/>
  <c r="X78" i="29"/>
  <c r="J7" i="11"/>
  <c r="J9" i="11"/>
  <c r="C16" i="28"/>
  <c r="AJ285" i="29" s="1"/>
  <c r="D24" i="28"/>
  <c r="AK293" i="29"/>
  <c r="O17" i="13"/>
  <c r="AG118" i="29"/>
  <c r="D18" i="28"/>
  <c r="AK287" i="29"/>
  <c r="C8" i="46"/>
  <c r="AM15" i="29"/>
  <c r="O47" i="11"/>
  <c r="AF91" i="29"/>
  <c r="P16" i="11"/>
  <c r="G19" i="13"/>
  <c r="Y120" i="29"/>
  <c r="J65" i="11"/>
  <c r="N56" i="11"/>
  <c r="AE96" i="29"/>
  <c r="D10" i="28"/>
  <c r="AK279" i="29"/>
  <c r="H46" i="11"/>
  <c r="Y90" i="29"/>
  <c r="L34" i="11"/>
  <c r="H67" i="11"/>
  <c r="Y103" i="29"/>
  <c r="C8" i="28"/>
  <c r="AJ277" i="29"/>
  <c r="I34" i="11"/>
  <c r="O56" i="11"/>
  <c r="AF96" i="29"/>
  <c r="F27" i="13"/>
  <c r="X128" i="29"/>
  <c r="S47" i="11"/>
  <c r="P91" i="29"/>
  <c r="M29" i="11"/>
  <c r="AD80" i="29"/>
  <c r="R31" i="13"/>
  <c r="P132" i="29"/>
  <c r="M16" i="15"/>
  <c r="O13" i="11"/>
  <c r="F17" i="11"/>
  <c r="J46" i="11"/>
  <c r="AA90" i="29"/>
  <c r="S75" i="11"/>
  <c r="D13" i="28"/>
  <c r="AK282" i="29"/>
  <c r="I19" i="13"/>
  <c r="AA120" i="29"/>
  <c r="K14" i="11"/>
  <c r="AB70" i="29"/>
  <c r="M23" i="15"/>
  <c r="R13" i="13"/>
  <c r="P114" i="29"/>
  <c r="S8" i="21"/>
  <c r="C11" i="46"/>
  <c r="AM18" i="29"/>
  <c r="M55" i="11"/>
  <c r="R14" i="13"/>
  <c r="P115" i="29"/>
  <c r="I50" i="11"/>
  <c r="L15" i="15"/>
  <c r="P148" i="29"/>
  <c r="K44" i="11"/>
  <c r="S10" i="11"/>
  <c r="P67" i="29"/>
  <c r="L25" i="13"/>
  <c r="AD126" i="29"/>
  <c r="L28" i="13"/>
  <c r="AD129" i="29"/>
  <c r="C6" i="46"/>
  <c r="AM13" i="29"/>
  <c r="C24" i="28"/>
  <c r="AJ293" i="29"/>
  <c r="K26" i="13"/>
  <c r="AC127" i="29"/>
  <c r="O32" i="11"/>
  <c r="AF82" i="29"/>
  <c r="L31" i="11"/>
  <c r="P31" i="11"/>
  <c r="S67" i="11"/>
  <c r="P103" i="29"/>
  <c r="J11" i="11"/>
  <c r="AA68" i="29"/>
  <c r="I29" i="11"/>
  <c r="Z80" i="29"/>
  <c r="F9" i="13"/>
  <c r="X110" i="29"/>
  <c r="R31" i="19"/>
  <c r="T31" i="19"/>
  <c r="B24" i="28"/>
  <c r="AI293" i="29"/>
  <c r="N31" i="9"/>
  <c r="H17" i="11"/>
  <c r="Y72" i="29"/>
  <c r="C6" i="28"/>
  <c r="H26" i="11"/>
  <c r="Y78" i="29"/>
  <c r="M10" i="9"/>
  <c r="P39" i="29"/>
  <c r="L10" i="15"/>
  <c r="P143" i="29"/>
  <c r="N50" i="11"/>
  <c r="N60" i="11"/>
  <c r="M17" i="9"/>
  <c r="P46" i="29"/>
  <c r="B11" i="28"/>
  <c r="AI280" i="29"/>
  <c r="N67" i="11"/>
  <c r="AE103" i="29"/>
  <c r="K16" i="13"/>
  <c r="AC117" i="29"/>
  <c r="M50" i="11"/>
  <c r="M46" i="11"/>
  <c r="AD90" i="29"/>
  <c r="J28" i="11"/>
  <c r="H62" i="11"/>
  <c r="Y100" i="29"/>
  <c r="O23" i="11"/>
  <c r="AF76" i="29"/>
  <c r="P7" i="11"/>
  <c r="AG65" i="29"/>
  <c r="I20" i="13"/>
  <c r="AA121" i="29"/>
  <c r="O19" i="13"/>
  <c r="AG120" i="29"/>
  <c r="F50" i="11"/>
  <c r="S62" i="11"/>
  <c r="P100" i="29"/>
  <c r="H11" i="11"/>
  <c r="Y68" i="29"/>
  <c r="O7" i="11"/>
  <c r="AF65" i="29"/>
  <c r="E25" i="13"/>
  <c r="W126" i="29"/>
  <c r="P19" i="11"/>
  <c r="M10" i="15"/>
  <c r="S31" i="11"/>
  <c r="P81" i="29"/>
  <c r="M13" i="9"/>
  <c r="P42" i="29"/>
  <c r="L14" i="15"/>
  <c r="P147" i="29"/>
  <c r="Q71" i="11"/>
  <c r="AH105" i="29"/>
  <c r="J35" i="11"/>
  <c r="AA84" i="29"/>
  <c r="C7" i="28"/>
  <c r="AJ276" i="29"/>
  <c r="H38" i="11"/>
  <c r="Y86" i="29"/>
  <c r="P51" i="11"/>
  <c r="AG93" i="29"/>
  <c r="E13" i="13"/>
  <c r="W114" i="29"/>
  <c r="F13" i="13"/>
  <c r="X114" i="29"/>
  <c r="E19" i="13"/>
  <c r="W120" i="29"/>
  <c r="F61" i="11"/>
  <c r="N27" i="9"/>
  <c r="D23" i="28"/>
  <c r="AK292" i="29"/>
  <c r="L29" i="11"/>
  <c r="AC80" i="29"/>
  <c r="S37" i="11"/>
  <c r="P85" i="29"/>
  <c r="L8" i="15"/>
  <c r="N38" i="11"/>
  <c r="AE86" i="29"/>
  <c r="G23" i="11"/>
  <c r="X76" i="29"/>
  <c r="P29" i="11"/>
  <c r="AG80" i="29"/>
  <c r="F11" i="11"/>
  <c r="I12" i="13"/>
  <c r="AA113" i="29"/>
  <c r="M52" i="11"/>
  <c r="AD94" i="29"/>
  <c r="L10" i="11"/>
  <c r="K28" i="13"/>
  <c r="AC129" i="29"/>
  <c r="G55" i="11"/>
  <c r="E11" i="13"/>
  <c r="W112" i="29"/>
  <c r="L12" i="13"/>
  <c r="AD113" i="29"/>
  <c r="L60" i="11"/>
  <c r="F51" i="11"/>
  <c r="I28" i="11"/>
  <c r="O26" i="11"/>
  <c r="AF78" i="29"/>
  <c r="S52" i="11"/>
  <c r="P94" i="29"/>
  <c r="O11" i="11"/>
  <c r="Q22" i="11"/>
  <c r="Q55" i="11"/>
  <c r="G52" i="11"/>
  <c r="X94" i="29"/>
  <c r="H25" i="11"/>
  <c r="J26" i="13"/>
  <c r="AB127" i="29"/>
  <c r="C13" i="46"/>
  <c r="AM20" i="29"/>
  <c r="S32" i="11"/>
  <c r="P82" i="29"/>
  <c r="H9" i="13"/>
  <c r="Z110" i="29"/>
  <c r="N26" i="9"/>
  <c r="L26" i="9"/>
  <c r="V53" i="29"/>
  <c r="H17" i="13"/>
  <c r="Z118" i="29"/>
  <c r="F26" i="11"/>
  <c r="I27" i="13"/>
  <c r="AA128" i="29"/>
  <c r="J57" i="11"/>
  <c r="AA97" i="29"/>
  <c r="H57" i="11"/>
  <c r="Y97" i="29"/>
  <c r="H61" i="11"/>
  <c r="Y99" i="29"/>
  <c r="L51" i="11"/>
  <c r="AC93" i="29"/>
  <c r="I7" i="11"/>
  <c r="Z65" i="29"/>
  <c r="Q29" i="11"/>
  <c r="AH80" i="29"/>
  <c r="N29" i="11"/>
  <c r="AE80" i="29"/>
  <c r="P25" i="11"/>
  <c r="I51" i="11"/>
  <c r="Z93" i="29"/>
  <c r="M21" i="15"/>
  <c r="F8" i="11"/>
  <c r="L45" i="11"/>
  <c r="AC89" i="29"/>
  <c r="R32" i="13"/>
  <c r="P133" i="29"/>
  <c r="N13" i="11"/>
  <c r="N12" i="13"/>
  <c r="AF113" i="29"/>
  <c r="Q67" i="11"/>
  <c r="AH103" i="29"/>
  <c r="J14" i="13"/>
  <c r="AB115" i="29"/>
  <c r="M20" i="15"/>
  <c r="O55" i="11"/>
  <c r="L14" i="13"/>
  <c r="AD115" i="29"/>
  <c r="C22" i="46"/>
  <c r="AM29" i="29"/>
  <c r="C7" i="46"/>
  <c r="AM14" i="29"/>
  <c r="M56" i="11"/>
  <c r="AD96" i="29"/>
  <c r="C22" i="28"/>
  <c r="AJ291" i="29"/>
  <c r="Q27" i="13"/>
  <c r="V27" i="13"/>
  <c r="L47" i="11"/>
  <c r="AC91" i="29"/>
  <c r="N23" i="11"/>
  <c r="AE76" i="29"/>
  <c r="M11" i="15"/>
  <c r="N25" i="13"/>
  <c r="AF126" i="29"/>
  <c r="B8" i="28"/>
  <c r="AI277" i="29"/>
  <c r="Q28" i="11"/>
  <c r="E28" i="13"/>
  <c r="W129" i="29"/>
  <c r="O10" i="11"/>
  <c r="N20" i="11"/>
  <c r="AE74" i="29"/>
  <c r="N61" i="11"/>
  <c r="AE99" i="29"/>
  <c r="K60" i="11"/>
  <c r="R38" i="13"/>
  <c r="F13" i="11"/>
  <c r="Q50" i="11"/>
  <c r="N44" i="11"/>
  <c r="J28" i="13"/>
  <c r="AB129" i="29"/>
  <c r="G56" i="11"/>
  <c r="X96" i="29"/>
  <c r="I45" i="11"/>
  <c r="Z89" i="29"/>
  <c r="H13" i="11"/>
  <c r="O51" i="11"/>
  <c r="AF93" i="29"/>
  <c r="K34" i="11"/>
  <c r="H45" i="11"/>
  <c r="Y89" i="29"/>
  <c r="J67" i="11"/>
  <c r="AA103" i="29"/>
  <c r="M12" i="13"/>
  <c r="AE113" i="29"/>
  <c r="I10" i="13"/>
  <c r="AA111" i="29"/>
  <c r="P14" i="11"/>
  <c r="AG70" i="29"/>
  <c r="D13" i="26"/>
  <c r="J25" i="13"/>
  <c r="AB126" i="29"/>
  <c r="N7" i="11"/>
  <c r="I61" i="11"/>
  <c r="Z99" i="29"/>
  <c r="H29" i="11"/>
  <c r="Y80" i="29"/>
  <c r="O7" i="13"/>
  <c r="AG108" i="29"/>
  <c r="Q45" i="11"/>
  <c r="AH89" i="29"/>
  <c r="N7" i="9"/>
  <c r="N20" i="13"/>
  <c r="AF121" i="29"/>
  <c r="F47" i="11"/>
  <c r="M20" i="11"/>
  <c r="AD74" i="29"/>
  <c r="J22" i="11"/>
  <c r="C10" i="46"/>
  <c r="AM17" i="29"/>
  <c r="G20" i="11"/>
  <c r="X74" i="29"/>
  <c r="G57" i="11"/>
  <c r="X97" i="29"/>
  <c r="N46" i="11"/>
  <c r="AE90" i="29"/>
  <c r="L23" i="11"/>
  <c r="AC76" i="29"/>
  <c r="P26" i="13"/>
  <c r="AH127" i="29"/>
  <c r="Q16" i="11"/>
  <c r="H60" i="11"/>
  <c r="F29" i="11"/>
  <c r="O44" i="11"/>
  <c r="F46" i="11"/>
  <c r="F7" i="7"/>
  <c r="G18" i="13"/>
  <c r="Y119" i="29"/>
  <c r="P35" i="11"/>
  <c r="AG84" i="29"/>
  <c r="K20" i="13"/>
  <c r="AC121" i="29"/>
  <c r="H11" i="13"/>
  <c r="Z112" i="29"/>
  <c r="N19" i="13"/>
  <c r="AF120" i="29"/>
  <c r="G29" i="11"/>
  <c r="X80" i="29"/>
  <c r="L14" i="11"/>
  <c r="AC70" i="29"/>
  <c r="S7" i="11"/>
  <c r="P65" i="29"/>
  <c r="M60" i="11"/>
  <c r="D20" i="28"/>
  <c r="AK289" i="29"/>
  <c r="G65" i="11"/>
  <c r="L20" i="15"/>
  <c r="P153" i="29"/>
  <c r="N27" i="13"/>
  <c r="AF128" i="29"/>
  <c r="J31" i="11"/>
  <c r="B20" i="28"/>
  <c r="AI289" i="29"/>
  <c r="M25" i="11"/>
  <c r="C9" i="46"/>
  <c r="AM16" i="29"/>
  <c r="K25" i="11"/>
  <c r="F20" i="11"/>
  <c r="L12" i="15"/>
  <c r="P145" i="29"/>
  <c r="J55" i="11"/>
  <c r="Q19" i="11"/>
  <c r="M34" i="11"/>
  <c r="J19" i="11"/>
  <c r="D14" i="28"/>
  <c r="AK283" i="29"/>
  <c r="E27" i="13"/>
  <c r="W128" i="29"/>
  <c r="O67" i="11"/>
  <c r="AF103" i="29"/>
  <c r="P11" i="11"/>
  <c r="AG68" i="29"/>
  <c r="I46" i="11"/>
  <c r="Z90" i="29"/>
  <c r="S45" i="11"/>
  <c r="P89" i="29"/>
  <c r="M27" i="13"/>
  <c r="AE128" i="29"/>
  <c r="L19" i="15"/>
  <c r="P152" i="29"/>
  <c r="M37" i="9"/>
  <c r="P63" i="29"/>
  <c r="M61" i="11"/>
  <c r="AD99" i="29"/>
  <c r="P19" i="13"/>
  <c r="AH120" i="29"/>
  <c r="R11" i="13"/>
  <c r="P112" i="29"/>
  <c r="L18" i="15"/>
  <c r="P151" i="29"/>
  <c r="P44" i="11"/>
  <c r="Q46" i="11"/>
  <c r="AH90" i="29"/>
  <c r="M23" i="11"/>
  <c r="AD76" i="29"/>
  <c r="J32" i="11"/>
  <c r="AA82" i="29"/>
  <c r="K62" i="11"/>
  <c r="AB100" i="29"/>
  <c r="R18" i="13"/>
  <c r="P119" i="29"/>
  <c r="I8" i="11"/>
  <c r="Z66" i="29"/>
  <c r="G16" i="11"/>
  <c r="Q56" i="11"/>
  <c r="AH96" i="29"/>
  <c r="J47" i="11"/>
  <c r="AA91" i="29"/>
  <c r="E26" i="13"/>
  <c r="W127" i="29"/>
  <c r="N26" i="13"/>
  <c r="AF127" i="29"/>
  <c r="O20" i="11"/>
  <c r="AF74" i="29"/>
  <c r="I55" i="11"/>
  <c r="M21" i="9"/>
  <c r="P49" i="29"/>
  <c r="K31" i="13"/>
  <c r="AC132" i="29"/>
  <c r="F33" i="13"/>
  <c r="X134" i="29"/>
  <c r="N66" i="11"/>
  <c r="AE102" i="29"/>
  <c r="N76" i="11"/>
  <c r="AE107" i="29"/>
  <c r="K7" i="13"/>
  <c r="AC108" i="29"/>
  <c r="Q66" i="11"/>
  <c r="AH102" i="29"/>
  <c r="N6" i="9"/>
  <c r="Q33" i="13"/>
  <c r="D23" i="13"/>
  <c r="O15" i="13"/>
  <c r="AG116" i="29"/>
  <c r="Q37" i="11"/>
  <c r="Q38" i="11"/>
  <c r="Q39" i="11"/>
  <c r="P38" i="11"/>
  <c r="N16" i="9"/>
  <c r="P7" i="13"/>
  <c r="AH108" i="29"/>
  <c r="F7" i="13"/>
  <c r="X108" i="29"/>
  <c r="L16" i="13"/>
  <c r="AD117" i="29"/>
  <c r="H15" i="13"/>
  <c r="Z116" i="29"/>
  <c r="G66" i="11"/>
  <c r="X102" i="29"/>
  <c r="O21" i="13"/>
  <c r="AG122" i="29"/>
  <c r="G7" i="11"/>
  <c r="C13" i="28"/>
  <c r="AJ282" i="29"/>
  <c r="C15" i="46"/>
  <c r="AM22" i="29"/>
  <c r="G31" i="11"/>
  <c r="G11" i="11"/>
  <c r="X68" i="29"/>
  <c r="K26" i="11"/>
  <c r="AB78" i="29"/>
  <c r="M13" i="13"/>
  <c r="AE114" i="29"/>
  <c r="J56" i="11"/>
  <c r="AA96" i="29"/>
  <c r="I17" i="13"/>
  <c r="AA118" i="29"/>
  <c r="N33" i="13"/>
  <c r="AF134" i="29"/>
  <c r="M33" i="13"/>
  <c r="AE134" i="29"/>
  <c r="F19" i="7"/>
  <c r="P50" i="11"/>
  <c r="B12" i="28"/>
  <c r="AI281" i="29"/>
  <c r="M67" i="11"/>
  <c r="AD103" i="29"/>
  <c r="P27" i="13"/>
  <c r="AH128" i="29"/>
  <c r="S38" i="11"/>
  <c r="P86" i="29"/>
  <c r="O20" i="13"/>
  <c r="AG121" i="29"/>
  <c r="M11" i="13"/>
  <c r="AE112" i="29"/>
  <c r="M10" i="13"/>
  <c r="AE111" i="29"/>
  <c r="O60" i="11"/>
  <c r="Q32" i="13"/>
  <c r="J23" i="13"/>
  <c r="AB124" i="29"/>
  <c r="C8" i="26"/>
  <c r="D24" i="13"/>
  <c r="Q12" i="13"/>
  <c r="F16" i="13"/>
  <c r="X117" i="29"/>
  <c r="G70" i="11"/>
  <c r="K23" i="11"/>
  <c r="AB76" i="29"/>
  <c r="L17" i="15"/>
  <c r="P150" i="29"/>
  <c r="O71" i="11"/>
  <c r="AF105" i="29"/>
  <c r="M31" i="11"/>
  <c r="P32" i="11"/>
  <c r="AG82" i="29"/>
  <c r="K16" i="11"/>
  <c r="C28" i="46"/>
  <c r="AM35" i="29"/>
  <c r="L33" i="13"/>
  <c r="AD134" i="29"/>
  <c r="O76" i="11"/>
  <c r="AF107" i="29"/>
  <c r="M7" i="13"/>
  <c r="AE108" i="29"/>
  <c r="M23" i="13"/>
  <c r="AE124" i="29"/>
  <c r="H20" i="13"/>
  <c r="Z121" i="29"/>
  <c r="K31" i="11"/>
  <c r="Q31" i="11"/>
  <c r="Q7" i="11"/>
  <c r="AH65" i="29"/>
  <c r="L26" i="13"/>
  <c r="AD127" i="29"/>
  <c r="E18" i="13"/>
  <c r="W119" i="29"/>
  <c r="J16" i="13"/>
  <c r="AB117" i="29"/>
  <c r="F35" i="11"/>
  <c r="I52" i="11"/>
  <c r="Z94" i="29"/>
  <c r="N9" i="13"/>
  <c r="AF110" i="29"/>
  <c r="G31" i="13"/>
  <c r="Y132" i="29"/>
  <c r="Q7" i="13"/>
  <c r="O108" i="29"/>
  <c r="Q24" i="13"/>
  <c r="D31" i="13"/>
  <c r="P61" i="11"/>
  <c r="AG99" i="29"/>
  <c r="M29" i="9"/>
  <c r="P56" i="29"/>
  <c r="M42" i="13"/>
  <c r="M43" i="13"/>
  <c r="M66" i="11"/>
  <c r="AD102" i="29"/>
  <c r="G7" i="13"/>
  <c r="Y108" i="29"/>
  <c r="N31" i="13"/>
  <c r="AF132" i="29"/>
  <c r="F32" i="13"/>
  <c r="X133" i="29"/>
  <c r="G32" i="13"/>
  <c r="Y133" i="29"/>
  <c r="E7" i="13"/>
  <c r="W108" i="29"/>
  <c r="H33" i="13"/>
  <c r="Z134" i="29"/>
  <c r="M32" i="9"/>
  <c r="P59" i="29"/>
  <c r="P34" i="11"/>
  <c r="K12" i="13"/>
  <c r="AC113" i="29"/>
  <c r="O11" i="13"/>
  <c r="AG112" i="29"/>
  <c r="N12" i="9"/>
  <c r="J7" i="13"/>
  <c r="AB108" i="29"/>
  <c r="Q13" i="13"/>
  <c r="C13" i="13"/>
  <c r="T13" i="13"/>
  <c r="E23" i="13"/>
  <c r="W124" i="29"/>
  <c r="F8" i="7"/>
  <c r="F66" i="11"/>
  <c r="I56" i="11"/>
  <c r="Z96" i="29"/>
  <c r="M45" i="11"/>
  <c r="AD89" i="29"/>
  <c r="J18" i="13"/>
  <c r="AB119" i="29"/>
  <c r="L32" i="13"/>
  <c r="AD133" i="29"/>
  <c r="M70" i="11"/>
  <c r="L70" i="11"/>
  <c r="N70" i="11"/>
  <c r="I31" i="13"/>
  <c r="AA132" i="29"/>
  <c r="N29" i="9"/>
  <c r="O38" i="11"/>
  <c r="AF86" i="29"/>
  <c r="M6" i="19"/>
  <c r="AD199" i="29"/>
  <c r="N23" i="13"/>
  <c r="AF124" i="29"/>
  <c r="L31" i="13"/>
  <c r="AD132" i="29"/>
  <c r="P66" i="11"/>
  <c r="AG102" i="29"/>
  <c r="H27" i="13"/>
  <c r="Z128" i="29"/>
  <c r="K32" i="13"/>
  <c r="AC133" i="29"/>
  <c r="O33" i="13"/>
  <c r="AG134" i="29"/>
  <c r="N17" i="13"/>
  <c r="AF118" i="29"/>
  <c r="Q23" i="13"/>
  <c r="C14" i="26"/>
  <c r="G17" i="13"/>
  <c r="Y118" i="29"/>
  <c r="P21" i="13"/>
  <c r="AH122" i="29"/>
  <c r="E10" i="13"/>
  <c r="W111" i="29"/>
  <c r="H23" i="13"/>
  <c r="Z124" i="29"/>
  <c r="B7" i="17"/>
  <c r="F14" i="7"/>
  <c r="I16" i="13"/>
  <c r="AA117" i="29"/>
  <c r="P70" i="11"/>
  <c r="L66" i="11"/>
  <c r="AC102" i="29"/>
  <c r="M19" i="13"/>
  <c r="AE120" i="29"/>
  <c r="P76" i="11"/>
  <c r="AG107" i="29"/>
  <c r="S8" i="11"/>
  <c r="P66" i="29"/>
  <c r="D32" i="13"/>
  <c r="E8" i="13"/>
  <c r="W109" i="29"/>
  <c r="Q17" i="13"/>
  <c r="O118" i="29"/>
  <c r="J33" i="13"/>
  <c r="AB134" i="29"/>
  <c r="J76" i="11"/>
  <c r="AA107" i="29"/>
  <c r="Q31" i="13"/>
  <c r="K21" i="13"/>
  <c r="AC122" i="29"/>
  <c r="N14" i="13"/>
  <c r="AF115" i="29"/>
  <c r="B7" i="28"/>
  <c r="AI276" i="29"/>
  <c r="J9" i="13"/>
  <c r="AB110" i="29"/>
  <c r="F13" i="7"/>
  <c r="I7" i="13"/>
  <c r="J66" i="11"/>
  <c r="AA102" i="29"/>
  <c r="O28" i="11"/>
  <c r="N21" i="9"/>
  <c r="Q18" i="13"/>
  <c r="D8" i="26"/>
  <c r="O36" i="13"/>
  <c r="F23" i="13"/>
  <c r="X124" i="29"/>
  <c r="S9" i="21"/>
  <c r="N32" i="9"/>
  <c r="K19" i="13"/>
  <c r="AC120" i="29"/>
  <c r="F19" i="13"/>
  <c r="X120" i="29"/>
  <c r="F24" i="13"/>
  <c r="X125" i="29"/>
  <c r="O9" i="13"/>
  <c r="AG110" i="29"/>
  <c r="Q14" i="13"/>
  <c r="O23" i="13"/>
  <c r="AG124" i="29"/>
  <c r="L6" i="19"/>
  <c r="AC199" i="29"/>
  <c r="M8" i="13"/>
  <c r="AE109" i="29"/>
  <c r="J19" i="13"/>
  <c r="AB120" i="29"/>
  <c r="D17" i="13"/>
  <c r="D30" i="13"/>
  <c r="D14" i="13"/>
  <c r="Q19" i="13"/>
  <c r="F17" i="7"/>
  <c r="O22" i="13"/>
  <c r="AG123" i="29"/>
  <c r="I21" i="13"/>
  <c r="AA122" i="29"/>
  <c r="D34" i="13"/>
  <c r="F12" i="7"/>
  <c r="O32" i="13"/>
  <c r="AG133" i="29"/>
  <c r="P18" i="13"/>
  <c r="AH119" i="29"/>
  <c r="G33" i="13"/>
  <c r="Y134" i="29"/>
  <c r="O24" i="13"/>
  <c r="AG125" i="29"/>
  <c r="H66" i="11"/>
  <c r="Y102" i="29"/>
  <c r="F16" i="7"/>
  <c r="J70" i="11"/>
  <c r="N15" i="13"/>
  <c r="AF116" i="29"/>
  <c r="K6" i="19"/>
  <c r="AB199" i="29"/>
  <c r="E32" i="13"/>
  <c r="W133" i="29"/>
  <c r="H6" i="19"/>
  <c r="Y199" i="29"/>
  <c r="H19" i="13"/>
  <c r="Z120" i="29"/>
  <c r="I8" i="13"/>
  <c r="AA109" i="29"/>
  <c r="F18" i="7"/>
  <c r="F20" i="7"/>
  <c r="E9" i="13"/>
  <c r="W110" i="29"/>
  <c r="G13" i="13"/>
  <c r="Y114" i="29"/>
  <c r="N16" i="13"/>
  <c r="AF117" i="29"/>
  <c r="L19" i="13"/>
  <c r="AD120" i="29"/>
  <c r="O66" i="11"/>
  <c r="AF102" i="29"/>
  <c r="K66" i="11"/>
  <c r="AB102" i="29"/>
  <c r="K11" i="13"/>
  <c r="AC112" i="29"/>
  <c r="I23" i="13"/>
  <c r="AA124" i="29"/>
  <c r="J31" i="13"/>
  <c r="AB132" i="29"/>
  <c r="J32" i="13"/>
  <c r="AB133" i="29"/>
  <c r="M18" i="13"/>
  <c r="AE119" i="29"/>
  <c r="K10" i="13"/>
  <c r="AC111" i="29"/>
  <c r="L9" i="13"/>
  <c r="AD110" i="29"/>
  <c r="J11" i="13"/>
  <c r="AB112" i="29"/>
  <c r="N11" i="9"/>
  <c r="D33" i="13"/>
  <c r="N24" i="13"/>
  <c r="AF125" i="29"/>
  <c r="F38" i="11"/>
  <c r="G9" i="13"/>
  <c r="Y110" i="29"/>
  <c r="N8" i="13"/>
  <c r="AF109" i="29"/>
  <c r="M16" i="13"/>
  <c r="AE117" i="29"/>
  <c r="D12" i="13"/>
  <c r="R6" i="19"/>
  <c r="O217" i="29"/>
  <c r="P33" i="13"/>
  <c r="AH134" i="29"/>
  <c r="O41" i="11"/>
  <c r="AF88" i="29"/>
  <c r="E31" i="13"/>
  <c r="W132" i="29"/>
  <c r="K41" i="11"/>
  <c r="AB88" i="29"/>
  <c r="P24" i="13"/>
  <c r="AH125" i="29"/>
  <c r="I9" i="13"/>
  <c r="AA110" i="29"/>
  <c r="K13" i="13"/>
  <c r="AC114" i="29"/>
  <c r="P9" i="13"/>
  <c r="AH110" i="29"/>
  <c r="I15" i="13"/>
  <c r="AA116" i="29"/>
  <c r="D18" i="13"/>
  <c r="M32" i="13"/>
  <c r="AE133" i="29"/>
  <c r="Q6" i="19"/>
  <c r="M14" i="13"/>
  <c r="AE115" i="29"/>
  <c r="I66" i="11"/>
  <c r="Z102" i="29"/>
  <c r="O10" i="13"/>
  <c r="AG111" i="29"/>
  <c r="H24" i="13"/>
  <c r="Z125" i="29"/>
  <c r="L7" i="13"/>
  <c r="AD108" i="29"/>
  <c r="G15" i="13"/>
  <c r="Y116" i="29"/>
  <c r="J37" i="11"/>
  <c r="AA85" i="29"/>
  <c r="F70" i="11"/>
  <c r="N32" i="13"/>
  <c r="AF133" i="29"/>
  <c r="I33" i="13"/>
  <c r="AA134" i="29"/>
  <c r="K33" i="13"/>
  <c r="AC134" i="29"/>
  <c r="I18" i="13"/>
  <c r="AA119" i="29"/>
  <c r="M9" i="13"/>
  <c r="AE110" i="29"/>
  <c r="M24" i="13"/>
  <c r="AE125" i="29"/>
  <c r="G10" i="13"/>
  <c r="Y111" i="29"/>
  <c r="O18" i="13"/>
  <c r="AG119" i="29"/>
  <c r="H14" i="13"/>
  <c r="Z115" i="29"/>
  <c r="I36" i="13"/>
  <c r="F18" i="13"/>
  <c r="X119" i="29"/>
  <c r="I70" i="11"/>
  <c r="E21" i="13"/>
  <c r="W122" i="29"/>
  <c r="Q34" i="13"/>
  <c r="J6" i="19"/>
  <c r="AA199" i="29"/>
  <c r="N36" i="13"/>
  <c r="I32" i="13"/>
  <c r="AA133" i="29"/>
  <c r="E24" i="13"/>
  <c r="W125" i="29"/>
  <c r="J41" i="11"/>
  <c r="AA88" i="29"/>
  <c r="F12" i="13"/>
  <c r="X113" i="29"/>
  <c r="G12" i="13"/>
  <c r="Y113" i="29"/>
  <c r="O12" i="13"/>
  <c r="AG113" i="29"/>
  <c r="K17" i="13"/>
  <c r="AC118" i="29"/>
  <c r="M6" i="15"/>
  <c r="F10" i="7"/>
  <c r="D10" i="13"/>
  <c r="E20" i="13"/>
  <c r="W121" i="29"/>
  <c r="O16" i="13"/>
  <c r="AG117" i="29"/>
  <c r="Q30" i="13"/>
  <c r="I13" i="13"/>
  <c r="AA114" i="29"/>
  <c r="E17" i="13"/>
  <c r="W118" i="29"/>
  <c r="L10" i="13"/>
  <c r="AD111" i="29"/>
  <c r="H36" i="13"/>
  <c r="D29" i="13"/>
  <c r="P32" i="13"/>
  <c r="AH133" i="29"/>
  <c r="K23" i="13"/>
  <c r="AC124" i="29"/>
  <c r="H31" i="13"/>
  <c r="Z132" i="29"/>
  <c r="E33" i="13"/>
  <c r="W134" i="29"/>
  <c r="M31" i="13"/>
  <c r="AE132" i="29"/>
  <c r="N33" i="9"/>
  <c r="L24" i="13"/>
  <c r="AD125" i="29"/>
  <c r="P14" i="13"/>
  <c r="AH115" i="29"/>
  <c r="P16" i="13"/>
  <c r="AH117" i="29"/>
  <c r="H18" i="13"/>
  <c r="Z119" i="29"/>
  <c r="J8" i="13"/>
  <c r="AB109" i="29"/>
  <c r="F6" i="19"/>
  <c r="W199" i="29"/>
  <c r="M21" i="13"/>
  <c r="AE122" i="29"/>
  <c r="J24" i="13"/>
  <c r="AB125" i="29"/>
  <c r="M20" i="13"/>
  <c r="AE121" i="29"/>
  <c r="P6" i="19"/>
  <c r="AG199" i="29"/>
  <c r="L8" i="13"/>
  <c r="AD109" i="29"/>
  <c r="O31" i="13"/>
  <c r="AG132" i="29"/>
  <c r="H42" i="13"/>
  <c r="H43" i="13"/>
  <c r="O14" i="13"/>
  <c r="AG115" i="29"/>
  <c r="J17" i="13"/>
  <c r="AB118" i="29"/>
  <c r="O8" i="13"/>
  <c r="AG109" i="29"/>
  <c r="Q70" i="11"/>
  <c r="L37" i="11"/>
  <c r="L38" i="11"/>
  <c r="L39" i="11"/>
  <c r="AC86" i="29"/>
  <c r="P41" i="11"/>
  <c r="AG88" i="29"/>
  <c r="N6" i="19"/>
  <c r="AE199" i="29"/>
  <c r="F31" i="13"/>
  <c r="X132" i="29"/>
  <c r="P31" i="13"/>
  <c r="AH132" i="29"/>
  <c r="G6" i="19"/>
  <c r="X199" i="29"/>
  <c r="H12" i="13"/>
  <c r="Z113" i="29"/>
  <c r="L18" i="13"/>
  <c r="AD119" i="29"/>
  <c r="H70" i="11"/>
  <c r="G23" i="13"/>
  <c r="Y124" i="29"/>
  <c r="N7" i="13"/>
  <c r="AF108" i="29"/>
  <c r="I6" i="19"/>
  <c r="Z199" i="29"/>
  <c r="L15" i="13"/>
  <c r="AD116" i="29"/>
  <c r="M15" i="13"/>
  <c r="AE116" i="29"/>
  <c r="I29" i="9"/>
  <c r="T56" i="29"/>
  <c r="D13" i="7"/>
  <c r="L6" i="29"/>
  <c r="E29" i="9"/>
  <c r="N56" i="29"/>
  <c r="I11" i="9"/>
  <c r="T40" i="29"/>
  <c r="I26" i="9"/>
  <c r="T53" i="29"/>
  <c r="G18" i="15"/>
  <c r="R151" i="29"/>
  <c r="D6" i="15"/>
  <c r="M140" i="29"/>
  <c r="E24" i="9"/>
  <c r="N51" i="29"/>
  <c r="D62" i="11"/>
  <c r="E52" i="11"/>
  <c r="L94" i="29"/>
  <c r="E15" i="15"/>
  <c r="N148" i="29"/>
  <c r="G17" i="15"/>
  <c r="R150" i="29"/>
  <c r="C25" i="9"/>
  <c r="L52" i="29"/>
  <c r="E51" i="11"/>
  <c r="L93" i="29"/>
  <c r="H8" i="9"/>
  <c r="S38" i="29"/>
  <c r="D44" i="11"/>
  <c r="I12" i="9"/>
  <c r="T41" i="29"/>
  <c r="D38" i="11"/>
  <c r="E20" i="15"/>
  <c r="N153" i="29"/>
  <c r="D24" i="9"/>
  <c r="M51" i="29"/>
  <c r="K7" i="9"/>
  <c r="U37" i="29"/>
  <c r="E30" i="19"/>
  <c r="L236" i="29"/>
  <c r="D14" i="11"/>
  <c r="E23" i="15"/>
  <c r="N156" i="29"/>
  <c r="E31" i="19"/>
  <c r="L237" i="29"/>
  <c r="H7" i="15"/>
  <c r="S141" i="29"/>
  <c r="E57" i="11"/>
  <c r="L97" i="29"/>
  <c r="D15" i="9"/>
  <c r="M44" i="29"/>
  <c r="H11" i="9"/>
  <c r="S40" i="29"/>
  <c r="D41" i="11"/>
  <c r="H15" i="9"/>
  <c r="S44" i="29"/>
  <c r="H14" i="15"/>
  <c r="S147" i="29"/>
  <c r="D35" i="11"/>
  <c r="C27" i="13"/>
  <c r="L128" i="29"/>
  <c r="E35" i="11"/>
  <c r="L84" i="29"/>
  <c r="G19" i="9"/>
  <c r="R47" i="29"/>
  <c r="H7" i="9"/>
  <c r="S37" i="29"/>
  <c r="I21" i="15"/>
  <c r="T154" i="29"/>
  <c r="H25" i="9"/>
  <c r="S52" i="29"/>
  <c r="D26" i="11"/>
  <c r="D27" i="11"/>
  <c r="C7" i="9"/>
  <c r="L37" i="29"/>
  <c r="E20" i="11"/>
  <c r="L74" i="29"/>
  <c r="I10" i="9"/>
  <c r="T39" i="29"/>
  <c r="D33" i="9"/>
  <c r="M60" i="29"/>
  <c r="H12" i="15"/>
  <c r="S145" i="29"/>
  <c r="D15" i="15"/>
  <c r="M148" i="29"/>
  <c r="D12" i="9"/>
  <c r="M41" i="29"/>
  <c r="D16" i="11"/>
  <c r="D13" i="9"/>
  <c r="M42" i="29"/>
  <c r="F7" i="9"/>
  <c r="Q37" i="29"/>
  <c r="I15" i="9"/>
  <c r="T44" i="29"/>
  <c r="D21" i="15"/>
  <c r="M154" i="29"/>
  <c r="I16" i="9"/>
  <c r="T45" i="29"/>
  <c r="E32" i="11"/>
  <c r="L82" i="29"/>
  <c r="H13" i="15"/>
  <c r="S146" i="29"/>
  <c r="C14" i="9"/>
  <c r="L43" i="29"/>
  <c r="I8" i="15"/>
  <c r="T142" i="29"/>
  <c r="G24" i="9"/>
  <c r="R51" i="29"/>
  <c r="D35" i="9"/>
  <c r="M62" i="29"/>
  <c r="G10" i="9"/>
  <c r="R39" i="29"/>
  <c r="H20" i="15"/>
  <c r="S153" i="29"/>
  <c r="C20" i="13"/>
  <c r="L121" i="29"/>
  <c r="I17" i="15"/>
  <c r="T150" i="29"/>
  <c r="D7" i="9"/>
  <c r="M37" i="29"/>
  <c r="C19" i="9"/>
  <c r="L47" i="29"/>
  <c r="D66" i="11"/>
  <c r="E27" i="9"/>
  <c r="N54" i="29"/>
  <c r="H18" i="15"/>
  <c r="S151" i="29"/>
  <c r="D34" i="11"/>
  <c r="D36" i="11"/>
  <c r="G14" i="9"/>
  <c r="R43" i="29"/>
  <c r="E65" i="11"/>
  <c r="H14" i="9"/>
  <c r="S43" i="29"/>
  <c r="G11" i="15"/>
  <c r="R144" i="29"/>
  <c r="C14" i="15"/>
  <c r="N14" i="15"/>
  <c r="H10" i="9"/>
  <c r="S39" i="29"/>
  <c r="D57" i="11"/>
  <c r="D16" i="9"/>
  <c r="M45" i="29"/>
  <c r="D18" i="15"/>
  <c r="M151" i="29"/>
  <c r="G30" i="9"/>
  <c r="R57" i="29"/>
  <c r="H21" i="15"/>
  <c r="S154" i="29"/>
  <c r="G28" i="9"/>
  <c r="R55" i="29"/>
  <c r="C30" i="9"/>
  <c r="L57" i="29"/>
  <c r="D8" i="9"/>
  <c r="H35" i="9"/>
  <c r="S62" i="29"/>
  <c r="C15" i="15"/>
  <c r="L148" i="29"/>
  <c r="D30" i="9"/>
  <c r="M57" i="29"/>
  <c r="H15" i="15"/>
  <c r="S148" i="29"/>
  <c r="D6" i="9"/>
  <c r="M36" i="29"/>
  <c r="E7" i="11"/>
  <c r="V7" i="11"/>
  <c r="E62" i="11"/>
  <c r="L100" i="29"/>
  <c r="I28" i="9"/>
  <c r="T55" i="29"/>
  <c r="D65" i="11"/>
  <c r="E8" i="11"/>
  <c r="L66" i="29"/>
  <c r="I27" i="9"/>
  <c r="T54" i="29"/>
  <c r="I19" i="15"/>
  <c r="T152" i="29"/>
  <c r="D45" i="11"/>
  <c r="G20" i="15"/>
  <c r="R153" i="29"/>
  <c r="E47" i="11"/>
  <c r="L91" i="29"/>
  <c r="C11" i="9"/>
  <c r="L40" i="29"/>
  <c r="C26" i="13"/>
  <c r="L127" i="29"/>
  <c r="C18" i="15"/>
  <c r="L151" i="29"/>
  <c r="H30" i="9"/>
  <c r="S57" i="29"/>
  <c r="G16" i="15"/>
  <c r="R149" i="29"/>
  <c r="I6" i="9"/>
  <c r="T36" i="29"/>
  <c r="E25" i="11"/>
  <c r="H34" i="9"/>
  <c r="S61" i="29"/>
  <c r="D11" i="15"/>
  <c r="M144" i="29"/>
  <c r="D23" i="15"/>
  <c r="M156" i="29"/>
  <c r="D27" i="9"/>
  <c r="M54" i="29"/>
  <c r="D32" i="11"/>
  <c r="D33" i="11"/>
  <c r="E28" i="11"/>
  <c r="C26" i="9"/>
  <c r="L53" i="29"/>
  <c r="E67" i="11"/>
  <c r="L103" i="29"/>
  <c r="H12" i="9"/>
  <c r="S41" i="29"/>
  <c r="C22" i="15"/>
  <c r="L155" i="29"/>
  <c r="D31" i="9"/>
  <c r="M58" i="29"/>
  <c r="D40" i="11"/>
  <c r="D42" i="11"/>
  <c r="H16" i="15"/>
  <c r="S149" i="29"/>
  <c r="D32" i="9"/>
  <c r="M59" i="29"/>
  <c r="E23" i="11"/>
  <c r="L76" i="29"/>
  <c r="D70" i="11"/>
  <c r="H33" i="9"/>
  <c r="S60" i="29"/>
  <c r="E13" i="11"/>
  <c r="H23" i="15"/>
  <c r="S156" i="29"/>
  <c r="D60" i="11"/>
  <c r="G7" i="15"/>
  <c r="R141" i="29"/>
  <c r="E11" i="15"/>
  <c r="N144" i="29"/>
  <c r="D25" i="11"/>
  <c r="I13" i="15"/>
  <c r="T146" i="29"/>
  <c r="C27" i="9"/>
  <c r="L54" i="29"/>
  <c r="E17" i="15"/>
  <c r="N150" i="29"/>
  <c r="D55" i="11"/>
  <c r="H32" i="9"/>
  <c r="S59" i="29"/>
  <c r="I25" i="9"/>
  <c r="T52" i="29"/>
  <c r="I14" i="9"/>
  <c r="T43" i="29"/>
  <c r="D20" i="15"/>
  <c r="M153" i="29"/>
  <c r="I32" i="9"/>
  <c r="T59" i="29"/>
  <c r="I34" i="9"/>
  <c r="T61" i="29"/>
  <c r="G31" i="9"/>
  <c r="R58" i="29"/>
  <c r="D14" i="9"/>
  <c r="M43" i="29"/>
  <c r="D11" i="11"/>
  <c r="D19" i="11"/>
  <c r="C17" i="15"/>
  <c r="L150" i="29"/>
  <c r="I18" i="15"/>
  <c r="T151" i="29"/>
  <c r="C20" i="15"/>
  <c r="L153" i="29"/>
  <c r="J8" i="15"/>
  <c r="U142" i="29"/>
  <c r="F6" i="15"/>
  <c r="Q140" i="29"/>
  <c r="D22" i="15"/>
  <c r="M155" i="29"/>
  <c r="D19" i="9"/>
  <c r="M47" i="29"/>
  <c r="D12" i="15"/>
  <c r="M145" i="29"/>
  <c r="C16" i="15"/>
  <c r="L149" i="29"/>
  <c r="C28" i="13"/>
  <c r="L129" i="29"/>
  <c r="G11" i="9"/>
  <c r="R40" i="29"/>
  <c r="F7" i="15"/>
  <c r="Q141" i="29"/>
  <c r="E50" i="11"/>
  <c r="I11" i="15"/>
  <c r="T144" i="29"/>
  <c r="G12" i="9"/>
  <c r="R41" i="29"/>
  <c r="D14" i="15"/>
  <c r="M147" i="29"/>
  <c r="H27" i="9"/>
  <c r="S54" i="29"/>
  <c r="C10" i="9"/>
  <c r="L39" i="29"/>
  <c r="E29" i="19"/>
  <c r="L235" i="29"/>
  <c r="D13" i="15"/>
  <c r="M146" i="29"/>
  <c r="I35" i="9"/>
  <c r="T62" i="29"/>
  <c r="E14" i="11"/>
  <c r="L70" i="29"/>
  <c r="H22" i="15"/>
  <c r="S155" i="29"/>
  <c r="E15" i="9"/>
  <c r="N44" i="29"/>
  <c r="H29" i="9"/>
  <c r="S56" i="29"/>
  <c r="E21" i="15"/>
  <c r="N154" i="29"/>
  <c r="H6" i="15"/>
  <c r="S140" i="29"/>
  <c r="E14" i="9"/>
  <c r="N43" i="29"/>
  <c r="G6" i="15"/>
  <c r="R140" i="29"/>
  <c r="D11" i="9"/>
  <c r="M40" i="29"/>
  <c r="I33" i="9"/>
  <c r="T60" i="29"/>
  <c r="I31" i="9"/>
  <c r="T58" i="29"/>
  <c r="G35" i="9"/>
  <c r="R62" i="29"/>
  <c r="D7" i="15"/>
  <c r="M141" i="29"/>
  <c r="G6" i="9"/>
  <c r="R36" i="29"/>
  <c r="E10" i="11"/>
  <c r="C29" i="9"/>
  <c r="L56" i="29"/>
  <c r="D14" i="7"/>
  <c r="E8" i="21"/>
  <c r="E32" i="9"/>
  <c r="N59" i="29"/>
  <c r="C23" i="13"/>
  <c r="L124" i="29"/>
  <c r="F17" i="15"/>
  <c r="Q150" i="29"/>
  <c r="F22" i="15"/>
  <c r="Q155" i="29"/>
  <c r="D23" i="11"/>
  <c r="E17" i="11"/>
  <c r="L72" i="29"/>
  <c r="D46" i="11"/>
  <c r="I6" i="15"/>
  <c r="T140" i="29"/>
  <c r="C13" i="9"/>
  <c r="L42" i="29"/>
  <c r="E45" i="11"/>
  <c r="L89" i="29"/>
  <c r="C21" i="15"/>
  <c r="L154" i="29"/>
  <c r="I20" i="15"/>
  <c r="T153" i="29"/>
  <c r="E13" i="15"/>
  <c r="N146" i="29"/>
  <c r="G33" i="9"/>
  <c r="R60" i="29"/>
  <c r="E19" i="11"/>
  <c r="D31" i="11"/>
  <c r="E25" i="9"/>
  <c r="N52" i="29"/>
  <c r="F33" i="9"/>
  <c r="Q60" i="29"/>
  <c r="G32" i="9"/>
  <c r="R59" i="29"/>
  <c r="C12" i="13"/>
  <c r="L113" i="29"/>
  <c r="C21" i="9"/>
  <c r="L49" i="29"/>
  <c r="C25" i="13"/>
  <c r="L126" i="29"/>
  <c r="C12" i="15"/>
  <c r="L145" i="29"/>
  <c r="G12" i="15"/>
  <c r="R145" i="29"/>
  <c r="D7" i="11"/>
  <c r="G13" i="15"/>
  <c r="R146" i="29"/>
  <c r="I23" i="15"/>
  <c r="T156" i="29"/>
  <c r="C19" i="15"/>
  <c r="L152" i="29"/>
  <c r="G25" i="9"/>
  <c r="R52" i="29"/>
  <c r="I24" i="9"/>
  <c r="T51" i="29"/>
  <c r="G26" i="9"/>
  <c r="R53" i="29"/>
  <c r="D29" i="9"/>
  <c r="M56" i="29"/>
  <c r="C33" i="13"/>
  <c r="L134" i="29"/>
  <c r="F21" i="15"/>
  <c r="Q154" i="29"/>
  <c r="C8" i="9"/>
  <c r="F11" i="15"/>
  <c r="Q144" i="29"/>
  <c r="I21" i="9"/>
  <c r="T49" i="29"/>
  <c r="E46" i="11"/>
  <c r="L90" i="29"/>
  <c r="D61" i="11"/>
  <c r="E11" i="11"/>
  <c r="L68" i="29"/>
  <c r="D56" i="11"/>
  <c r="E19" i="9"/>
  <c r="N47" i="29"/>
  <c r="H16" i="9"/>
  <c r="S45" i="29"/>
  <c r="I19" i="9"/>
  <c r="T47" i="29"/>
  <c r="I14" i="15"/>
  <c r="T147" i="29"/>
  <c r="E22" i="15"/>
  <c r="N155" i="29"/>
  <c r="D28" i="11"/>
  <c r="D30" i="11"/>
  <c r="C7" i="15"/>
  <c r="L141" i="29"/>
  <c r="H26" i="9"/>
  <c r="S53" i="29"/>
  <c r="C23" i="15"/>
  <c r="L156" i="29"/>
  <c r="H31" i="9"/>
  <c r="S58" i="29"/>
  <c r="E31" i="11"/>
  <c r="G8" i="15"/>
  <c r="R142" i="29"/>
  <c r="E26" i="11"/>
  <c r="L78" i="29"/>
  <c r="I12" i="15"/>
  <c r="T145" i="29"/>
  <c r="F6" i="9"/>
  <c r="Q36" i="29"/>
  <c r="I7" i="15"/>
  <c r="T141" i="29"/>
  <c r="F34" i="9"/>
  <c r="Q61" i="29"/>
  <c r="E61" i="11"/>
  <c r="L99" i="29"/>
  <c r="I30" i="9"/>
  <c r="T57" i="29"/>
  <c r="D21" i="9"/>
  <c r="M49" i="29"/>
  <c r="D19" i="15"/>
  <c r="M152" i="29"/>
  <c r="I17" i="9"/>
  <c r="T46" i="29"/>
  <c r="D51" i="11"/>
  <c r="D47" i="11"/>
  <c r="H13" i="9"/>
  <c r="S42" i="29"/>
  <c r="I10" i="15"/>
  <c r="T143" i="29"/>
  <c r="J7" i="15"/>
  <c r="U141" i="29"/>
  <c r="D13" i="11"/>
  <c r="D15" i="11"/>
  <c r="E60" i="11"/>
  <c r="I22" i="15"/>
  <c r="T155" i="29"/>
  <c r="D20" i="11"/>
  <c r="E22" i="11"/>
  <c r="C11" i="15"/>
  <c r="L144" i="29"/>
  <c r="E33" i="9"/>
  <c r="N60" i="29"/>
  <c r="C32" i="13"/>
  <c r="L133" i="29"/>
  <c r="E12" i="15"/>
  <c r="N145" i="29"/>
  <c r="G19" i="15"/>
  <c r="R152" i="29"/>
  <c r="G17" i="9"/>
  <c r="R46" i="29"/>
  <c r="I22" i="9"/>
  <c r="T50" i="29"/>
  <c r="E34" i="11"/>
  <c r="D26" i="9"/>
  <c r="M53" i="29"/>
  <c r="E38" i="11"/>
  <c r="C29" i="13"/>
  <c r="L130" i="29"/>
  <c r="C31" i="13"/>
  <c r="L132" i="29"/>
  <c r="G20" i="9"/>
  <c r="R48" i="29"/>
  <c r="D34" i="9"/>
  <c r="M61" i="29"/>
  <c r="G27" i="9"/>
  <c r="R54" i="29"/>
  <c r="E18" i="15"/>
  <c r="N151" i="29"/>
  <c r="D16" i="15"/>
  <c r="M149" i="29"/>
  <c r="E71" i="11"/>
  <c r="L105" i="29"/>
  <c r="G34" i="9"/>
  <c r="R61" i="29"/>
  <c r="D52" i="11"/>
  <c r="H21" i="9"/>
  <c r="S49" i="29"/>
  <c r="E6" i="15"/>
  <c r="N140" i="29"/>
  <c r="L111" i="29"/>
  <c r="D12" i="7"/>
  <c r="L5" i="29"/>
  <c r="G10" i="15"/>
  <c r="R143" i="29"/>
  <c r="G22" i="15"/>
  <c r="R155" i="29"/>
  <c r="D17" i="15"/>
  <c r="M150" i="29"/>
  <c r="G13" i="9"/>
  <c r="R42" i="29"/>
  <c r="D10" i="9"/>
  <c r="M39" i="29"/>
  <c r="G21" i="9"/>
  <c r="R49" i="29"/>
  <c r="D8" i="11"/>
  <c r="D9" i="11"/>
  <c r="I15" i="15"/>
  <c r="T148" i="29"/>
  <c r="G21" i="15"/>
  <c r="R154" i="29"/>
  <c r="E21" i="9"/>
  <c r="N49" i="29"/>
  <c r="E31" i="9"/>
  <c r="N58" i="29"/>
  <c r="G15" i="15"/>
  <c r="R148" i="29"/>
  <c r="C31" i="9"/>
  <c r="L58" i="29"/>
  <c r="C12" i="9"/>
  <c r="L41" i="29"/>
  <c r="D67" i="11"/>
  <c r="E7" i="9"/>
  <c r="N37" i="29"/>
  <c r="L114" i="29"/>
  <c r="D17" i="11"/>
  <c r="D18" i="11"/>
  <c r="G14" i="15"/>
  <c r="R147" i="29"/>
  <c r="I13" i="9"/>
  <c r="T42" i="29"/>
  <c r="C33" i="9"/>
  <c r="L60" i="29"/>
  <c r="D7" i="7"/>
  <c r="L2" i="29"/>
  <c r="C17" i="13"/>
  <c r="L118" i="29"/>
  <c r="H6" i="9"/>
  <c r="S36" i="29"/>
  <c r="E16" i="11"/>
  <c r="D29" i="11"/>
  <c r="C37" i="9"/>
  <c r="L63" i="29"/>
  <c r="D71" i="11"/>
  <c r="D72" i="11"/>
  <c r="C15" i="9"/>
  <c r="L44" i="29"/>
  <c r="E13" i="9"/>
  <c r="N42" i="29"/>
  <c r="D10" i="11"/>
  <c r="D12" i="11"/>
  <c r="D50" i="11"/>
  <c r="G23" i="15"/>
  <c r="R156" i="29"/>
  <c r="E44" i="11"/>
  <c r="G29" i="9"/>
  <c r="R56" i="29"/>
  <c r="D16" i="7"/>
  <c r="L8" i="29"/>
  <c r="C6" i="15"/>
  <c r="L140" i="29"/>
  <c r="D37" i="11"/>
  <c r="D39" i="11"/>
  <c r="H17" i="15"/>
  <c r="S150" i="29"/>
  <c r="E56" i="11"/>
  <c r="L96" i="29"/>
  <c r="I20" i="9"/>
  <c r="T48" i="29"/>
  <c r="E29" i="11"/>
  <c r="L80" i="29"/>
  <c r="F15" i="15"/>
  <c r="Q148" i="29"/>
  <c r="I7" i="9"/>
  <c r="T37" i="29"/>
  <c r="D8" i="7"/>
  <c r="G7" i="9"/>
  <c r="R37" i="29"/>
  <c r="E30" i="9"/>
  <c r="N57" i="29"/>
  <c r="C24" i="9"/>
  <c r="L51" i="29"/>
  <c r="I16" i="15"/>
  <c r="T149" i="29"/>
  <c r="E55" i="11"/>
  <c r="D25" i="9"/>
  <c r="M52" i="29"/>
  <c r="H24" i="9"/>
  <c r="S51" i="29"/>
  <c r="D20" i="9"/>
  <c r="M48" i="29"/>
  <c r="C13" i="15"/>
  <c r="L146" i="29"/>
  <c r="D22" i="11"/>
  <c r="D24" i="11"/>
  <c r="C10" i="15"/>
  <c r="L143" i="29"/>
  <c r="C32" i="9"/>
  <c r="L59" i="29"/>
  <c r="D6" i="19"/>
  <c r="L199" i="29"/>
  <c r="D19" i="7"/>
  <c r="L11" i="29"/>
  <c r="E9" i="21"/>
  <c r="L245" i="29"/>
  <c r="C30" i="13"/>
  <c r="L131" i="29"/>
  <c r="E12" i="9"/>
  <c r="N41" i="29"/>
  <c r="C34" i="13"/>
  <c r="L135" i="29"/>
  <c r="C24" i="13"/>
  <c r="L125" i="29"/>
  <c r="F23" i="15"/>
  <c r="Q156" i="29"/>
  <c r="D18" i="7"/>
  <c r="L10" i="29"/>
  <c r="D20" i="7"/>
  <c r="F19" i="9"/>
  <c r="Q47" i="29"/>
  <c r="D7" i="17"/>
  <c r="D10" i="7"/>
  <c r="C18" i="13"/>
  <c r="L119" i="29"/>
  <c r="E11" i="9"/>
  <c r="N40" i="29"/>
  <c r="C6" i="9"/>
  <c r="L36" i="29"/>
  <c r="F12" i="15"/>
  <c r="Q145" i="29"/>
  <c r="E66" i="11"/>
  <c r="L102" i="29"/>
  <c r="C16" i="9"/>
  <c r="L45" i="29"/>
  <c r="H19" i="15"/>
  <c r="S152" i="29"/>
  <c r="D17" i="7"/>
  <c r="L9" i="29"/>
  <c r="K9" i="21"/>
  <c r="AB245" i="29"/>
  <c r="F9" i="21"/>
  <c r="W245" i="29"/>
  <c r="H8" i="21"/>
  <c r="Y244" i="29"/>
  <c r="F22" i="21"/>
  <c r="W255" i="29"/>
  <c r="K22" i="21"/>
  <c r="AB255" i="29"/>
  <c r="J9" i="21"/>
  <c r="AA245" i="29"/>
  <c r="K8" i="21"/>
  <c r="AB244" i="29"/>
  <c r="G18" i="21"/>
  <c r="O9" i="21"/>
  <c r="AF245" i="29"/>
  <c r="Q8" i="21"/>
  <c r="AH244" i="29"/>
  <c r="I9" i="21"/>
  <c r="Z245" i="29"/>
  <c r="M8" i="21"/>
  <c r="AD244" i="29"/>
  <c r="Q10" i="17"/>
  <c r="M31" i="17"/>
  <c r="AD183" i="29"/>
  <c r="N37" i="17"/>
  <c r="AE189" i="29"/>
  <c r="F15" i="17"/>
  <c r="J14" i="17"/>
  <c r="AA166" i="29"/>
  <c r="K45" i="17"/>
  <c r="AB196" i="29"/>
  <c r="G39" i="17"/>
  <c r="X191" i="29"/>
  <c r="P34" i="17"/>
  <c r="AG186" i="29"/>
  <c r="O25" i="17"/>
  <c r="H20" i="17"/>
  <c r="Y172" i="29"/>
  <c r="G43" i="17"/>
  <c r="X195" i="29"/>
  <c r="L42" i="17"/>
  <c r="AC194" i="29"/>
  <c r="O27" i="17"/>
  <c r="AF179" i="29"/>
  <c r="K37" i="17"/>
  <c r="AB189" i="29"/>
  <c r="I23" i="17"/>
  <c r="Z175" i="29"/>
  <c r="Q28" i="17"/>
  <c r="H17" i="17"/>
  <c r="Y169" i="29"/>
  <c r="L34" i="17"/>
  <c r="AC186" i="29"/>
  <c r="I37" i="17"/>
  <c r="Z189" i="29"/>
  <c r="H39" i="17"/>
  <c r="Y191" i="29"/>
  <c r="M18" i="17"/>
  <c r="AD170" i="29"/>
  <c r="G38" i="17"/>
  <c r="X190" i="29"/>
  <c r="L36" i="17"/>
  <c r="AC188" i="29"/>
  <c r="Q25" i="17"/>
  <c r="P9" i="17"/>
  <c r="O29" i="17"/>
  <c r="AF181" i="29"/>
  <c r="H36" i="17"/>
  <c r="Y188" i="29"/>
  <c r="I20" i="17"/>
  <c r="Z172" i="29"/>
  <c r="Q11" i="17"/>
  <c r="E39" i="17"/>
  <c r="O35" i="17"/>
  <c r="AF187" i="29"/>
  <c r="O41" i="17"/>
  <c r="AF193" i="29"/>
  <c r="N25" i="17"/>
  <c r="Q22" i="17"/>
  <c r="I40" i="17"/>
  <c r="Z192" i="29"/>
  <c r="Q35" i="17"/>
  <c r="L43" i="17"/>
  <c r="AC195" i="29"/>
  <c r="E33" i="17"/>
  <c r="H23" i="17"/>
  <c r="Y175" i="29"/>
  <c r="I34" i="17"/>
  <c r="Z186" i="29"/>
  <c r="M17" i="17"/>
  <c r="AD169" i="29"/>
  <c r="L35" i="17"/>
  <c r="AC187" i="29"/>
  <c r="M38" i="17"/>
  <c r="AD190" i="29"/>
  <c r="F44" i="17"/>
  <c r="R44" i="17"/>
  <c r="G30" i="17"/>
  <c r="X182" i="29"/>
  <c r="O12" i="17"/>
  <c r="AF164" i="29"/>
  <c r="I43" i="17"/>
  <c r="Z195" i="29"/>
  <c r="J16" i="17"/>
  <c r="AA168" i="29"/>
  <c r="I19" i="17"/>
  <c r="Z171" i="29"/>
  <c r="G8" i="21"/>
  <c r="X244" i="29"/>
  <c r="P12" i="17"/>
  <c r="AG164" i="29"/>
  <c r="P20" i="17"/>
  <c r="AG172" i="29"/>
  <c r="L12" i="17"/>
  <c r="AC164" i="29"/>
  <c r="J15" i="17"/>
  <c r="AA167" i="29"/>
  <c r="F33" i="17"/>
  <c r="L11" i="17"/>
  <c r="AC163" i="29"/>
  <c r="H11" i="17"/>
  <c r="Y163" i="29"/>
  <c r="O30" i="17"/>
  <c r="AF182" i="29"/>
  <c r="N26" i="17"/>
  <c r="AE178" i="29"/>
  <c r="P22" i="17"/>
  <c r="AG174" i="29"/>
  <c r="M14" i="17"/>
  <c r="AD166" i="29"/>
  <c r="I39" i="17"/>
  <c r="Z191" i="29"/>
  <c r="I31" i="17"/>
  <c r="Z183" i="29"/>
  <c r="H40" i="17"/>
  <c r="Y192" i="29"/>
  <c r="O26" i="17"/>
  <c r="AF178" i="29"/>
  <c r="H16" i="17"/>
  <c r="Y168" i="29"/>
  <c r="M40" i="17"/>
  <c r="AD192" i="29"/>
  <c r="F11" i="17"/>
  <c r="E17" i="17"/>
  <c r="G18" i="17"/>
  <c r="X170" i="29"/>
  <c r="E13" i="17"/>
  <c r="K44" i="17"/>
  <c r="G21" i="17"/>
  <c r="X173" i="29"/>
  <c r="L27" i="17"/>
  <c r="AC179" i="29"/>
  <c r="F31" i="17"/>
  <c r="W183" i="29"/>
  <c r="G33" i="17"/>
  <c r="F27" i="17"/>
  <c r="E45" i="17"/>
  <c r="F14" i="17"/>
  <c r="O28" i="17"/>
  <c r="AF180" i="29"/>
  <c r="H9" i="17"/>
  <c r="J13" i="17"/>
  <c r="AA165" i="29"/>
  <c r="K29" i="17"/>
  <c r="AB181" i="29"/>
  <c r="N21" i="17"/>
  <c r="AE173" i="29"/>
  <c r="F28" i="17"/>
  <c r="J37" i="17"/>
  <c r="AA189" i="29"/>
  <c r="L10" i="17"/>
  <c r="AC162" i="29"/>
  <c r="H43" i="17"/>
  <c r="Y195" i="29"/>
  <c r="N10" i="17"/>
  <c r="AE162" i="29"/>
  <c r="O34" i="17"/>
  <c r="AF186" i="29"/>
  <c r="F40" i="17"/>
  <c r="F36" i="17"/>
  <c r="M15" i="17"/>
  <c r="AD167" i="29"/>
  <c r="P37" i="17"/>
  <c r="AG189" i="29"/>
  <c r="E11" i="17"/>
  <c r="G35" i="17"/>
  <c r="X187" i="29"/>
  <c r="Q37" i="17"/>
  <c r="I45" i="17"/>
  <c r="Z196" i="29"/>
  <c r="M19" i="17"/>
  <c r="AD171" i="29"/>
  <c r="J35" i="17"/>
  <c r="AA187" i="29"/>
  <c r="N42" i="17"/>
  <c r="AE194" i="29"/>
  <c r="P39" i="17"/>
  <c r="AG191" i="29"/>
  <c r="I33" i="17"/>
  <c r="J39" i="17"/>
  <c r="AA191" i="29"/>
  <c r="P13" i="17"/>
  <c r="AG165" i="29"/>
  <c r="G26" i="17"/>
  <c r="X178" i="29"/>
  <c r="G25" i="17"/>
  <c r="K18" i="17"/>
  <c r="AB170" i="29"/>
  <c r="E9" i="17"/>
  <c r="K34" i="17"/>
  <c r="AB186" i="29"/>
  <c r="N34" i="17"/>
  <c r="AE186" i="29"/>
  <c r="O44" i="17"/>
  <c r="J19" i="17"/>
  <c r="AA171" i="29"/>
  <c r="J41" i="17"/>
  <c r="AA193" i="29"/>
  <c r="M26" i="17"/>
  <c r="AD178" i="29"/>
  <c r="G27" i="17"/>
  <c r="X179" i="29"/>
  <c r="N12" i="17"/>
  <c r="AE164" i="29"/>
  <c r="E10" i="17"/>
  <c r="I36" i="17"/>
  <c r="Z188" i="29"/>
  <c r="N28" i="17"/>
  <c r="AE180" i="29"/>
  <c r="M13" i="17"/>
  <c r="AD165" i="29"/>
  <c r="P11" i="17"/>
  <c r="AG163" i="29"/>
  <c r="G28" i="17"/>
  <c r="X180" i="29"/>
  <c r="P17" i="17"/>
  <c r="AG169" i="29"/>
  <c r="J42" i="17"/>
  <c r="AA194" i="29"/>
  <c r="G11" i="21"/>
  <c r="X247" i="29"/>
  <c r="M34" i="17"/>
  <c r="AD186" i="29"/>
  <c r="E40" i="17"/>
  <c r="J44" i="17"/>
  <c r="P45" i="17"/>
  <c r="AG196" i="29"/>
  <c r="I14" i="17"/>
  <c r="Z166" i="29"/>
  <c r="N20" i="17"/>
  <c r="AE172" i="29"/>
  <c r="F12" i="21"/>
  <c r="W248" i="29"/>
  <c r="H37" i="17"/>
  <c r="Y189" i="29"/>
  <c r="G16" i="17"/>
  <c r="X168" i="29"/>
  <c r="M30" i="17"/>
  <c r="AD182" i="29"/>
  <c r="I10" i="17"/>
  <c r="Z162" i="29"/>
  <c r="Q15" i="17"/>
  <c r="AH167" i="29"/>
  <c r="J17" i="17"/>
  <c r="AA169" i="29"/>
  <c r="K43" i="17"/>
  <c r="AB195" i="29"/>
  <c r="G17" i="17"/>
  <c r="X169" i="29"/>
  <c r="E34" i="17"/>
  <c r="Q31" i="17"/>
  <c r="O16" i="17"/>
  <c r="AF168" i="29"/>
  <c r="P15" i="17"/>
  <c r="AG167" i="29"/>
  <c r="G10" i="17"/>
  <c r="X162" i="29"/>
  <c r="P10" i="17"/>
  <c r="AG162" i="29"/>
  <c r="P28" i="17"/>
  <c r="AG180" i="29"/>
  <c r="I13" i="21"/>
  <c r="Z249" i="29"/>
  <c r="H21" i="17"/>
  <c r="Y173" i="29"/>
  <c r="N19" i="17"/>
  <c r="AE171" i="29"/>
  <c r="Q13" i="17"/>
  <c r="F43" i="17"/>
  <c r="I25" i="17"/>
  <c r="K21" i="17"/>
  <c r="AB173" i="29"/>
  <c r="F13" i="17"/>
  <c r="F46" i="17"/>
  <c r="W197" i="29"/>
  <c r="F35" i="17"/>
  <c r="J28" i="17"/>
  <c r="AA180" i="29"/>
  <c r="G15" i="17"/>
  <c r="X167" i="29"/>
  <c r="K19" i="17"/>
  <c r="AB171" i="29"/>
  <c r="I26" i="17"/>
  <c r="Z178" i="29"/>
  <c r="H12" i="17"/>
  <c r="Y164" i="29"/>
  <c r="P43" i="17"/>
  <c r="AG195" i="29"/>
  <c r="I30" i="17"/>
  <c r="Z182" i="29"/>
  <c r="M45" i="17"/>
  <c r="AD196" i="29"/>
  <c r="H19" i="17"/>
  <c r="Y171" i="29"/>
  <c r="H15" i="17"/>
  <c r="Y167" i="29"/>
  <c r="F21" i="17"/>
  <c r="L37" i="17"/>
  <c r="AC189" i="29"/>
  <c r="E21" i="17"/>
  <c r="J25" i="17"/>
  <c r="J30" i="17"/>
  <c r="AA182" i="29"/>
  <c r="Q20" i="17"/>
  <c r="H25" i="17"/>
  <c r="H28" i="17"/>
  <c r="Y180" i="29"/>
  <c r="L15" i="17"/>
  <c r="AC167" i="29"/>
  <c r="H34" i="17"/>
  <c r="Y186" i="29"/>
  <c r="F29" i="17"/>
  <c r="F10" i="21"/>
  <c r="W246" i="29"/>
  <c r="Q23" i="17"/>
  <c r="O175" i="29"/>
  <c r="G16" i="21"/>
  <c r="N38" i="17"/>
  <c r="AE190" i="29"/>
  <c r="Q42" i="17"/>
  <c r="I27" i="17"/>
  <c r="Z179" i="29"/>
  <c r="O22" i="17"/>
  <c r="AF174" i="29"/>
  <c r="N18" i="17"/>
  <c r="AE170" i="29"/>
  <c r="M29" i="17"/>
  <c r="AD181" i="29"/>
  <c r="F23" i="17"/>
  <c r="J31" i="17"/>
  <c r="AA183" i="29"/>
  <c r="Q21" i="17"/>
  <c r="G34" i="17"/>
  <c r="X186" i="29"/>
  <c r="E19" i="17"/>
  <c r="J10" i="17"/>
  <c r="AA162" i="29"/>
  <c r="I38" i="17"/>
  <c r="Z190" i="29"/>
  <c r="E35" i="17"/>
  <c r="K39" i="17"/>
  <c r="AB191" i="29"/>
  <c r="O37" i="17"/>
  <c r="AF189" i="29"/>
  <c r="N40" i="17"/>
  <c r="AE192" i="29"/>
  <c r="P35" i="17"/>
  <c r="AG187" i="29"/>
  <c r="F18" i="17"/>
  <c r="Q43" i="17"/>
  <c r="M22" i="17"/>
  <c r="AD174" i="29"/>
  <c r="N16" i="17"/>
  <c r="AE168" i="29"/>
  <c r="I17" i="17"/>
  <c r="Z169" i="29"/>
  <c r="M10" i="17"/>
  <c r="AD162" i="29"/>
  <c r="E12" i="17"/>
  <c r="E20" i="17"/>
  <c r="Q19" i="17"/>
  <c r="O20" i="17"/>
  <c r="AF172" i="29"/>
  <c r="K15" i="17"/>
  <c r="AB167" i="29"/>
  <c r="Q39" i="17"/>
  <c r="AH191" i="29"/>
  <c r="N39" i="17"/>
  <c r="AE191" i="29"/>
  <c r="L22" i="17"/>
  <c r="AC174" i="29"/>
  <c r="F10" i="17"/>
  <c r="I11" i="21"/>
  <c r="Z247" i="29"/>
  <c r="K30" i="17"/>
  <c r="AB182" i="29"/>
  <c r="Q40" i="17"/>
  <c r="O192" i="29"/>
  <c r="M41" i="17"/>
  <c r="AD193" i="29"/>
  <c r="O36" i="17"/>
  <c r="AF188" i="29"/>
  <c r="E30" i="17"/>
  <c r="F39" i="17"/>
  <c r="F26" i="17"/>
  <c r="J45" i="17"/>
  <c r="AA196" i="29"/>
  <c r="Q34" i="17"/>
  <c r="E41" i="17"/>
  <c r="J27" i="17"/>
  <c r="AA179" i="29"/>
  <c r="L44" i="17"/>
  <c r="P23" i="17"/>
  <c r="AG175" i="29"/>
  <c r="N9" i="17"/>
  <c r="H12" i="21"/>
  <c r="Y248" i="29"/>
  <c r="K26" i="17"/>
  <c r="AB178" i="29"/>
  <c r="K25" i="17"/>
  <c r="L41" i="17"/>
  <c r="AC193" i="29"/>
  <c r="L28" i="17"/>
  <c r="AC180" i="29"/>
  <c r="O45" i="17"/>
  <c r="AF196" i="29"/>
  <c r="J18" i="17"/>
  <c r="AA170" i="29"/>
  <c r="J11" i="17"/>
  <c r="AA163" i="29"/>
  <c r="G11" i="17"/>
  <c r="X163" i="29"/>
  <c r="N41" i="17"/>
  <c r="AE193" i="29"/>
  <c r="J29" i="17"/>
  <c r="AA181" i="29"/>
  <c r="K11" i="17"/>
  <c r="AB163" i="29"/>
  <c r="N22" i="17"/>
  <c r="AE174" i="29"/>
  <c r="F42" i="17"/>
  <c r="O17" i="17"/>
  <c r="AF169" i="29"/>
  <c r="G41" i="17"/>
  <c r="X193" i="29"/>
  <c r="I21" i="17"/>
  <c r="Z173" i="29"/>
  <c r="P16" i="17"/>
  <c r="AG168" i="29"/>
  <c r="H33" i="17"/>
  <c r="Q12" i="17"/>
  <c r="O164" i="29"/>
  <c r="P42" i="17"/>
  <c r="AG194" i="29"/>
  <c r="L29" i="17"/>
  <c r="AC181" i="29"/>
  <c r="M42" i="17"/>
  <c r="AD194" i="29"/>
  <c r="K9" i="17"/>
  <c r="H22" i="17"/>
  <c r="Y174" i="29"/>
  <c r="J34" i="17"/>
  <c r="AA186" i="29"/>
  <c r="M28" i="17"/>
  <c r="AD180" i="29"/>
  <c r="H18" i="17"/>
  <c r="Y170" i="29"/>
  <c r="K20" i="17"/>
  <c r="AB172" i="29"/>
  <c r="O33" i="17"/>
  <c r="AF185" i="29"/>
  <c r="P18" i="17"/>
  <c r="AG170" i="29"/>
  <c r="H13" i="17"/>
  <c r="Y165" i="29"/>
  <c r="N15" i="17"/>
  <c r="AE167" i="29"/>
  <c r="H31" i="17"/>
  <c r="Y183" i="29"/>
  <c r="P26" i="17"/>
  <c r="AG178" i="29"/>
  <c r="P41" i="17"/>
  <c r="AG193" i="29"/>
  <c r="G45" i="17"/>
  <c r="X196" i="29"/>
  <c r="I13" i="17"/>
  <c r="Z165" i="29"/>
  <c r="N13" i="17"/>
  <c r="AE165" i="29"/>
  <c r="L14" i="17"/>
  <c r="AC166" i="29"/>
  <c r="N45" i="17"/>
  <c r="AE196" i="29"/>
  <c r="Q33" i="17"/>
  <c r="F30" i="17"/>
  <c r="R8" i="21"/>
  <c r="P244" i="29"/>
  <c r="F16" i="21"/>
  <c r="G22" i="21"/>
  <c r="X255" i="29"/>
  <c r="I35" i="17"/>
  <c r="Z187" i="29"/>
  <c r="I44" i="17"/>
  <c r="Q30" i="17"/>
  <c r="AH182" i="29"/>
  <c r="M16" i="17"/>
  <c r="AD168" i="29"/>
  <c r="O10" i="17"/>
  <c r="AF162" i="29"/>
  <c r="H38" i="17"/>
  <c r="Y190" i="29"/>
  <c r="Q44" i="17"/>
  <c r="I42" i="17"/>
  <c r="Z194" i="29"/>
  <c r="G37" i="17"/>
  <c r="X189" i="29"/>
  <c r="L20" i="17"/>
  <c r="AC172" i="29"/>
  <c r="I29" i="17"/>
  <c r="Z181" i="29"/>
  <c r="N29" i="17"/>
  <c r="AE181" i="29"/>
  <c r="H45" i="17"/>
  <c r="Y196" i="29"/>
  <c r="Q27" i="17"/>
  <c r="N43" i="17"/>
  <c r="AE195" i="29"/>
  <c r="M23" i="17"/>
  <c r="AD175" i="29"/>
  <c r="K28" i="17"/>
  <c r="AB180" i="29"/>
  <c r="E15" i="17"/>
  <c r="O31" i="17"/>
  <c r="AF183" i="29"/>
  <c r="N36" i="17"/>
  <c r="AE188" i="29"/>
  <c r="N27" i="17"/>
  <c r="AE179" i="29"/>
  <c r="L16" i="17"/>
  <c r="AC168" i="29"/>
  <c r="O11" i="17"/>
  <c r="AF163" i="29"/>
  <c r="E8" i="17"/>
  <c r="J26" i="17"/>
  <c r="AA178" i="29"/>
  <c r="L31" i="17"/>
  <c r="AC183" i="29"/>
  <c r="P29" i="17"/>
  <c r="AG181" i="29"/>
  <c r="I9" i="17"/>
  <c r="R9" i="17"/>
  <c r="K27" i="17"/>
  <c r="AB179" i="29"/>
  <c r="M21" i="17"/>
  <c r="AD173" i="29"/>
  <c r="I41" i="17"/>
  <c r="Z193" i="29"/>
  <c r="K23" i="17"/>
  <c r="AB175" i="29"/>
  <c r="M27" i="17"/>
  <c r="AD179" i="29"/>
  <c r="M33" i="17"/>
  <c r="P36" i="17"/>
  <c r="AG188" i="29"/>
  <c r="O14" i="17"/>
  <c r="AF166" i="29"/>
  <c r="L17" i="17"/>
  <c r="AC169" i="29"/>
  <c r="O19" i="17"/>
  <c r="AF171" i="29"/>
  <c r="E18" i="17"/>
  <c r="F12" i="17"/>
  <c r="H18" i="21"/>
  <c r="F37" i="17"/>
  <c r="E29" i="17"/>
  <c r="J22" i="17"/>
  <c r="AA174" i="29"/>
  <c r="G9" i="17"/>
  <c r="E42" i="17"/>
  <c r="J23" i="17"/>
  <c r="AA175" i="29"/>
  <c r="H11" i="21"/>
  <c r="Y247" i="29"/>
  <c r="O21" i="17"/>
  <c r="AF173" i="29"/>
  <c r="G29" i="17"/>
  <c r="X181" i="29"/>
  <c r="E27" i="17"/>
  <c r="F16" i="17"/>
  <c r="F9" i="17"/>
  <c r="M37" i="17"/>
  <c r="AD189" i="29"/>
  <c r="E26" i="17"/>
  <c r="H29" i="17"/>
  <c r="Y181" i="29"/>
  <c r="Q14" i="17"/>
  <c r="P31" i="17"/>
  <c r="AG183" i="29"/>
  <c r="G19" i="17"/>
  <c r="X171" i="29"/>
  <c r="K31" i="17"/>
  <c r="AB183" i="29"/>
  <c r="M35" i="17"/>
  <c r="AD187" i="29"/>
  <c r="Q38" i="17"/>
  <c r="Q45" i="17"/>
  <c r="O8" i="21"/>
  <c r="AF244" i="29"/>
  <c r="L13" i="17"/>
  <c r="AC165" i="29"/>
  <c r="M44" i="17"/>
  <c r="L45" i="17"/>
  <c r="AC196" i="29"/>
  <c r="O18" i="17"/>
  <c r="AF170" i="29"/>
  <c r="K12" i="17"/>
  <c r="AB164" i="29"/>
  <c r="M43" i="17"/>
  <c r="AD195" i="29"/>
  <c r="G31" i="17"/>
  <c r="X183" i="29"/>
  <c r="F17" i="17"/>
  <c r="F38" i="17"/>
  <c r="E23" i="17"/>
  <c r="E36" i="17"/>
  <c r="G14" i="17"/>
  <c r="X166" i="29"/>
  <c r="L19" i="17"/>
  <c r="AC171" i="29"/>
  <c r="L40" i="17"/>
  <c r="AC192" i="29"/>
  <c r="O39" i="17"/>
  <c r="AF191" i="29"/>
  <c r="K36" i="17"/>
  <c r="AB188" i="29"/>
  <c r="K16" i="17"/>
  <c r="AB168" i="29"/>
  <c r="F19" i="17"/>
  <c r="J33" i="17"/>
  <c r="H14" i="17"/>
  <c r="Y166" i="29"/>
  <c r="J43" i="17"/>
  <c r="AA195" i="29"/>
  <c r="Q41" i="17"/>
  <c r="H10" i="17"/>
  <c r="Y162" i="29"/>
  <c r="F22" i="17"/>
  <c r="W174" i="29"/>
  <c r="Q18" i="17"/>
  <c r="O170" i="29"/>
  <c r="N11" i="17"/>
  <c r="AE163" i="29"/>
  <c r="K35" i="17"/>
  <c r="AB187" i="29"/>
  <c r="P27" i="17"/>
  <c r="AG179" i="29"/>
  <c r="K40" i="17"/>
  <c r="AB192" i="29"/>
  <c r="P19" i="17"/>
  <c r="AG171" i="29"/>
  <c r="M9" i="17"/>
  <c r="H26" i="17"/>
  <c r="Y178" i="29"/>
  <c r="P38" i="17"/>
  <c r="AG190" i="29"/>
  <c r="I12" i="17"/>
  <c r="Z164" i="29"/>
  <c r="P30" i="17"/>
  <c r="AG182" i="29"/>
  <c r="F25" i="17"/>
  <c r="F24" i="17"/>
  <c r="N23" i="17"/>
  <c r="AE175" i="29"/>
  <c r="L25" i="17"/>
  <c r="AC177" i="29"/>
  <c r="O246" i="29"/>
  <c r="K22" i="17"/>
  <c r="AB174" i="29"/>
  <c r="F13" i="21"/>
  <c r="W249" i="29"/>
  <c r="I11" i="17"/>
  <c r="Z163" i="29"/>
  <c r="E28" i="17"/>
  <c r="E38" i="17"/>
  <c r="P33" i="17"/>
  <c r="AG185" i="29"/>
  <c r="I22" i="17"/>
  <c r="Z174" i="29"/>
  <c r="L9" i="17"/>
  <c r="L39" i="17"/>
  <c r="AC191" i="29"/>
  <c r="F20" i="17"/>
  <c r="Q26" i="17"/>
  <c r="E37" i="17"/>
  <c r="M25" i="17"/>
  <c r="G13" i="17"/>
  <c r="X165" i="29"/>
  <c r="M12" i="17"/>
  <c r="AD164" i="29"/>
  <c r="E14" i="17"/>
  <c r="F45" i="17"/>
  <c r="N31" i="17"/>
  <c r="AE183" i="29"/>
  <c r="N30" i="17"/>
  <c r="AE182" i="29"/>
  <c r="E16" i="17"/>
  <c r="N14" i="17"/>
  <c r="AE166" i="29"/>
  <c r="E25" i="17"/>
  <c r="J38" i="17"/>
  <c r="AA190" i="29"/>
  <c r="K14" i="17"/>
  <c r="AB166" i="29"/>
  <c r="O9" i="17"/>
  <c r="AF161" i="29"/>
  <c r="O43" i="17"/>
  <c r="AF195" i="29"/>
  <c r="K13" i="17"/>
  <c r="AB165" i="29"/>
  <c r="M39" i="17"/>
  <c r="AD191" i="29"/>
  <c r="G22" i="17"/>
  <c r="X174" i="29"/>
  <c r="L33" i="17"/>
  <c r="K17" i="17"/>
  <c r="AB169" i="29"/>
  <c r="N17" i="17"/>
  <c r="AE169" i="29"/>
  <c r="I18" i="17"/>
  <c r="Z170" i="29"/>
  <c r="G42" i="17"/>
  <c r="X194" i="29"/>
  <c r="O23" i="17"/>
  <c r="AF175" i="29"/>
  <c r="E44" i="17"/>
  <c r="K10" i="17"/>
  <c r="AB162" i="29"/>
  <c r="K33" i="17"/>
  <c r="AB185" i="29"/>
  <c r="G13" i="21"/>
  <c r="X249" i="29"/>
  <c r="K41" i="17"/>
  <c r="AB193" i="29"/>
  <c r="P21" i="17"/>
  <c r="AG173" i="29"/>
  <c r="K42" i="17"/>
  <c r="AB194" i="29"/>
  <c r="L18" i="17"/>
  <c r="AC170" i="29"/>
  <c r="S11" i="21"/>
  <c r="O247" i="29"/>
  <c r="Q17" i="17"/>
  <c r="M11" i="17"/>
  <c r="AD163" i="29"/>
  <c r="J36" i="17"/>
  <c r="AA188" i="29"/>
  <c r="E32" i="17"/>
  <c r="H42" i="17"/>
  <c r="Y194" i="29"/>
  <c r="L30" i="17"/>
  <c r="AC182" i="29"/>
  <c r="Q36" i="17"/>
  <c r="Q32" i="17"/>
  <c r="Q29" i="17"/>
  <c r="AH181" i="29"/>
  <c r="J9" i="17"/>
  <c r="H41" i="17"/>
  <c r="R41" i="17"/>
  <c r="Y193" i="29"/>
  <c r="I28" i="17"/>
  <c r="Z180" i="29"/>
  <c r="E22" i="17"/>
  <c r="K38" i="17"/>
  <c r="AB190" i="29"/>
  <c r="P25" i="17"/>
  <c r="P40" i="17"/>
  <c r="AG192" i="29"/>
  <c r="E43" i="17"/>
  <c r="Q16" i="17"/>
  <c r="AH168" i="29"/>
  <c r="L23" i="17"/>
  <c r="AC175" i="29"/>
  <c r="L21" i="17"/>
  <c r="AC173" i="29"/>
  <c r="F34" i="17"/>
  <c r="F32" i="17"/>
  <c r="M20" i="17"/>
  <c r="AD172" i="29"/>
  <c r="G12" i="17"/>
  <c r="X164" i="29"/>
  <c r="P44" i="17"/>
  <c r="O15" i="17"/>
  <c r="AF167" i="29"/>
  <c r="L26" i="17"/>
  <c r="AC178" i="29"/>
  <c r="O38" i="17"/>
  <c r="AF190" i="29"/>
  <c r="J40" i="17"/>
  <c r="AA192" i="29"/>
  <c r="G40" i="17"/>
  <c r="X192" i="29"/>
  <c r="Q9" i="17"/>
  <c r="AH161" i="29"/>
  <c r="O42" i="17"/>
  <c r="AF194" i="29"/>
  <c r="J20" i="17"/>
  <c r="AA172" i="29"/>
  <c r="G20" i="17"/>
  <c r="X172" i="29"/>
  <c r="E31" i="17"/>
  <c r="H30" i="17"/>
  <c r="Y182" i="29"/>
  <c r="P14" i="17"/>
  <c r="AG166" i="29"/>
  <c r="H27" i="17"/>
  <c r="Y179" i="29"/>
  <c r="F41" i="17"/>
  <c r="N44" i="17"/>
  <c r="I16" i="17"/>
  <c r="Z168" i="29"/>
  <c r="O40" i="17"/>
  <c r="AF192" i="29"/>
  <c r="H44" i="17"/>
  <c r="N35" i="17"/>
  <c r="AE187" i="29"/>
  <c r="I15" i="17"/>
  <c r="Z167" i="29"/>
  <c r="I12" i="21"/>
  <c r="Z248" i="29"/>
  <c r="M36" i="17"/>
  <c r="AD188" i="29"/>
  <c r="L38" i="17"/>
  <c r="AC190" i="29"/>
  <c r="G23" i="17"/>
  <c r="X175" i="29"/>
  <c r="O13" i="17"/>
  <c r="AF165" i="29"/>
  <c r="E24" i="17"/>
  <c r="J12" i="17"/>
  <c r="AA164" i="29"/>
  <c r="G44" i="17"/>
  <c r="H35" i="17"/>
  <c r="Y187" i="29"/>
  <c r="G36" i="17"/>
  <c r="X188" i="29"/>
  <c r="N33" i="17"/>
  <c r="J21" i="17"/>
  <c r="AA173" i="29"/>
  <c r="L11" i="21"/>
  <c r="AC247" i="29"/>
  <c r="N22" i="21"/>
  <c r="AE255" i="29"/>
  <c r="H16" i="21"/>
  <c r="H22" i="21"/>
  <c r="Y255" i="29"/>
  <c r="F20" i="21"/>
  <c r="G20" i="21"/>
  <c r="I22" i="21"/>
  <c r="Z255" i="29"/>
  <c r="F18" i="21"/>
  <c r="K11" i="21"/>
  <c r="AB247" i="29"/>
  <c r="P22" i="21"/>
  <c r="AG255" i="29"/>
  <c r="F11" i="21"/>
  <c r="W247" i="29"/>
  <c r="L8" i="21"/>
  <c r="AC244" i="29"/>
  <c r="P9" i="21"/>
  <c r="AG245" i="29"/>
  <c r="G12" i="21"/>
  <c r="X248" i="29"/>
  <c r="N9" i="21"/>
  <c r="AE245" i="29"/>
  <c r="Q9" i="21"/>
  <c r="AH245" i="29"/>
  <c r="P8" i="21"/>
  <c r="AG244" i="29"/>
  <c r="G9" i="21"/>
  <c r="X245" i="29"/>
  <c r="L9" i="21"/>
  <c r="AC245" i="29"/>
  <c r="O22" i="21"/>
  <c r="AF255" i="29"/>
  <c r="H9" i="21"/>
  <c r="Y245" i="29"/>
  <c r="I18" i="21"/>
  <c r="M11" i="21"/>
  <c r="AD247" i="29"/>
  <c r="M22" i="21"/>
  <c r="AD255" i="29"/>
  <c r="L22" i="21"/>
  <c r="AC255" i="29"/>
  <c r="N8" i="21"/>
  <c r="AE244" i="29"/>
  <c r="H13" i="21"/>
  <c r="Y249" i="29"/>
  <c r="J18" i="21"/>
  <c r="M9" i="21"/>
  <c r="AD245" i="29"/>
  <c r="I8" i="21"/>
  <c r="Z244" i="29"/>
  <c r="J11" i="21"/>
  <c r="AA247" i="29"/>
  <c r="J8" i="21"/>
  <c r="AA244" i="29"/>
  <c r="J22" i="21"/>
  <c r="AA255" i="29"/>
  <c r="F8" i="21"/>
  <c r="W244" i="29"/>
  <c r="F31" i="9"/>
  <c r="Q58" i="29"/>
  <c r="F21" i="9"/>
  <c r="Q49" i="29"/>
  <c r="A10" i="7"/>
  <c r="A14" i="7"/>
  <c r="A17" i="7"/>
  <c r="I9" i="29"/>
  <c r="A16" i="7"/>
  <c r="I8" i="29"/>
  <c r="A7" i="7"/>
  <c r="A15" i="7"/>
  <c r="C8" i="21"/>
  <c r="A18" i="7"/>
  <c r="I10" i="29"/>
  <c r="A8" i="7"/>
  <c r="C9" i="21"/>
  <c r="I245" i="29"/>
  <c r="A20" i="7"/>
  <c r="A13" i="7"/>
  <c r="I6" i="29"/>
  <c r="A12" i="7"/>
  <c r="I5" i="29"/>
  <c r="A19" i="7"/>
  <c r="I11" i="29"/>
  <c r="F29" i="9"/>
  <c r="Q56" i="29"/>
  <c r="Q22" i="21"/>
  <c r="AH255" i="29"/>
  <c r="K32" i="9"/>
  <c r="U59" i="29"/>
  <c r="F14" i="9"/>
  <c r="Q43" i="29"/>
  <c r="F25" i="9"/>
  <c r="Q52" i="29"/>
  <c r="L13" i="21"/>
  <c r="AC249" i="29"/>
  <c r="J12" i="15"/>
  <c r="U145" i="29"/>
  <c r="J23" i="15"/>
  <c r="U156" i="29"/>
  <c r="C12" i="21"/>
  <c r="I248" i="29"/>
  <c r="C16" i="21"/>
  <c r="I252" i="29"/>
  <c r="C13" i="21"/>
  <c r="I249" i="29"/>
  <c r="C18" i="21"/>
  <c r="C11" i="21"/>
  <c r="I247" i="29"/>
  <c r="N11" i="21"/>
  <c r="AE247" i="29"/>
  <c r="C19" i="7"/>
  <c r="K11" i="29"/>
  <c r="C34" i="11"/>
  <c r="C46" i="11"/>
  <c r="K90" i="29"/>
  <c r="C10" i="7"/>
  <c r="C14" i="11"/>
  <c r="K70" i="29"/>
  <c r="C65" i="11"/>
  <c r="C44" i="11"/>
  <c r="C47" i="11"/>
  <c r="K91" i="29"/>
  <c r="B15" i="9"/>
  <c r="K44" i="29"/>
  <c r="B15" i="15"/>
  <c r="K148" i="29"/>
  <c r="C22" i="11"/>
  <c r="C10" i="11"/>
  <c r="B28" i="13"/>
  <c r="K129" i="29"/>
  <c r="C55" i="11"/>
  <c r="B10" i="9"/>
  <c r="K39" i="29"/>
  <c r="B17" i="15"/>
  <c r="K150" i="29"/>
  <c r="C71" i="11"/>
  <c r="C72" i="11"/>
  <c r="C62" i="11"/>
  <c r="K100" i="29"/>
  <c r="B19" i="15"/>
  <c r="K152" i="29"/>
  <c r="B24" i="9"/>
  <c r="K51" i="29"/>
  <c r="B30" i="9"/>
  <c r="K57" i="29"/>
  <c r="B25" i="13"/>
  <c r="K126" i="29"/>
  <c r="C19" i="11"/>
  <c r="C21" i="11"/>
  <c r="C25" i="11"/>
  <c r="B11" i="15"/>
  <c r="K144" i="29"/>
  <c r="C8" i="11"/>
  <c r="K66" i="29"/>
  <c r="B29" i="9"/>
  <c r="K56" i="29"/>
  <c r="C11" i="11"/>
  <c r="K68" i="29"/>
  <c r="C57" i="11"/>
  <c r="K97" i="29"/>
  <c r="C20" i="11"/>
  <c r="K74" i="29"/>
  <c r="C29" i="11"/>
  <c r="K80" i="29"/>
  <c r="B23" i="13"/>
  <c r="K124" i="29"/>
  <c r="B26" i="9"/>
  <c r="K53" i="29"/>
  <c r="B8" i="15"/>
  <c r="K142" i="29"/>
  <c r="B14" i="15"/>
  <c r="K147" i="29"/>
  <c r="C52" i="11"/>
  <c r="K94" i="29"/>
  <c r="C32" i="11"/>
  <c r="K82" i="29"/>
  <c r="K120" i="29"/>
  <c r="C51" i="11"/>
  <c r="K93" i="29"/>
  <c r="C67" i="11"/>
  <c r="K103" i="29"/>
  <c r="C23" i="11"/>
  <c r="K76" i="29"/>
  <c r="B23" i="15"/>
  <c r="K156" i="29"/>
  <c r="B11" i="13"/>
  <c r="K112" i="29"/>
  <c r="B27" i="13"/>
  <c r="K128" i="29"/>
  <c r="B12" i="15"/>
  <c r="K145" i="29"/>
  <c r="C13" i="11"/>
  <c r="B32" i="13"/>
  <c r="K133" i="29"/>
  <c r="B21" i="9"/>
  <c r="K49" i="29"/>
  <c r="C61" i="11"/>
  <c r="K99" i="29"/>
  <c r="B13" i="9"/>
  <c r="K42" i="29"/>
  <c r="B11" i="9"/>
  <c r="K40" i="29"/>
  <c r="B6" i="9"/>
  <c r="K36" i="29"/>
  <c r="B7" i="9"/>
  <c r="K37" i="29"/>
  <c r="B20" i="15"/>
  <c r="K153" i="29"/>
  <c r="B27" i="9"/>
  <c r="K54" i="29"/>
  <c r="C16" i="11"/>
  <c r="C35" i="11"/>
  <c r="K84" i="29"/>
  <c r="C31" i="11"/>
  <c r="B20" i="13"/>
  <c r="K121" i="29"/>
  <c r="K109" i="29"/>
  <c r="B19" i="9"/>
  <c r="K47" i="29"/>
  <c r="B21" i="15"/>
  <c r="K154" i="29"/>
  <c r="B20" i="9"/>
  <c r="K48" i="29"/>
  <c r="B16" i="15"/>
  <c r="K149" i="29"/>
  <c r="C56" i="11"/>
  <c r="K96" i="29"/>
  <c r="C60" i="11"/>
  <c r="C28" i="11"/>
  <c r="B10" i="15"/>
  <c r="K143" i="29"/>
  <c r="B25" i="9"/>
  <c r="K52" i="29"/>
  <c r="C50" i="11"/>
  <c r="C53" i="11"/>
  <c r="C7" i="11"/>
  <c r="B9" i="13"/>
  <c r="K110" i="29"/>
  <c r="B7" i="13"/>
  <c r="K108" i="29"/>
  <c r="B14" i="9"/>
  <c r="K43" i="29"/>
  <c r="B18" i="15"/>
  <c r="K151" i="29"/>
  <c r="B18" i="13"/>
  <c r="K119" i="29"/>
  <c r="B10" i="13"/>
  <c r="K111" i="29"/>
  <c r="B26" i="13"/>
  <c r="K127" i="29"/>
  <c r="C26" i="11"/>
  <c r="K78" i="29"/>
  <c r="C45" i="11"/>
  <c r="K89" i="29"/>
  <c r="K114" i="29"/>
  <c r="B24" i="13"/>
  <c r="K125" i="29"/>
  <c r="C17" i="11"/>
  <c r="K72" i="29"/>
  <c r="B22" i="15"/>
  <c r="K155" i="29"/>
  <c r="B13" i="15"/>
  <c r="K146" i="29"/>
  <c r="C20" i="7"/>
  <c r="C7" i="7"/>
  <c r="C21" i="7"/>
  <c r="C8" i="7"/>
  <c r="K3" i="29"/>
  <c r="B31" i="13"/>
  <c r="K132" i="29"/>
  <c r="B32" i="9"/>
  <c r="K59" i="29"/>
  <c r="B29" i="13"/>
  <c r="K130" i="29"/>
  <c r="B16" i="9"/>
  <c r="K45" i="29"/>
  <c r="C18" i="7"/>
  <c r="K10" i="29"/>
  <c r="B33" i="9"/>
  <c r="K60" i="29"/>
  <c r="B6" i="15"/>
  <c r="K140" i="29"/>
  <c r="C14" i="7"/>
  <c r="B37" i="9"/>
  <c r="K63" i="29"/>
  <c r="C66" i="11"/>
  <c r="K102" i="29"/>
  <c r="C38" i="11"/>
  <c r="K86" i="29"/>
  <c r="C37" i="11"/>
  <c r="C16" i="7"/>
  <c r="K8" i="29"/>
  <c r="B8" i="9"/>
  <c r="B33" i="13"/>
  <c r="K134" i="29"/>
  <c r="B12" i="9"/>
  <c r="K41" i="29"/>
  <c r="B30" i="13"/>
  <c r="K131" i="29"/>
  <c r="K2" i="29"/>
  <c r="C12" i="7"/>
  <c r="K5" i="29"/>
  <c r="C13" i="7"/>
  <c r="K6" i="29"/>
  <c r="K115" i="29"/>
  <c r="B31" i="9"/>
  <c r="K58" i="29"/>
  <c r="C17" i="7"/>
  <c r="K9" i="29"/>
  <c r="C12" i="17"/>
  <c r="K164" i="29"/>
  <c r="C13" i="17"/>
  <c r="K165" i="29"/>
  <c r="C9" i="17"/>
  <c r="K161" i="29"/>
  <c r="C39" i="17"/>
  <c r="K191" i="29"/>
  <c r="C10" i="17"/>
  <c r="K162" i="29"/>
  <c r="C20" i="17"/>
  <c r="K172" i="29"/>
  <c r="C42" i="17"/>
  <c r="K194" i="29"/>
  <c r="C16" i="17"/>
  <c r="K168" i="29"/>
  <c r="C24" i="17"/>
  <c r="K176" i="29"/>
  <c r="C41" i="17"/>
  <c r="K193" i="29"/>
  <c r="C22" i="17"/>
  <c r="K174" i="29"/>
  <c r="C14" i="17"/>
  <c r="K166" i="29"/>
  <c r="C36" i="17"/>
  <c r="K188" i="29"/>
  <c r="C17" i="17"/>
  <c r="K169" i="29"/>
  <c r="C27" i="17"/>
  <c r="K179" i="29"/>
  <c r="C45" i="17"/>
  <c r="K196" i="29"/>
  <c r="C32" i="17"/>
  <c r="K184" i="29"/>
  <c r="C8" i="17"/>
  <c r="K160" i="29"/>
  <c r="C23" i="17"/>
  <c r="K175" i="29"/>
  <c r="C37" i="17"/>
  <c r="K189" i="29"/>
  <c r="C28" i="17"/>
  <c r="K180" i="29"/>
  <c r="C29" i="17"/>
  <c r="K181" i="29"/>
  <c r="C30" i="17"/>
  <c r="K182" i="29"/>
  <c r="C11" i="17"/>
  <c r="K163" i="29"/>
  <c r="C33" i="17"/>
  <c r="K185" i="29"/>
  <c r="C34" i="17"/>
  <c r="K186" i="29"/>
  <c r="C19" i="17"/>
  <c r="K171" i="29"/>
  <c r="C38" i="17"/>
  <c r="K190" i="29"/>
  <c r="C26" i="17"/>
  <c r="K178" i="29"/>
  <c r="C46" i="17"/>
  <c r="K197" i="29"/>
  <c r="C18" i="17"/>
  <c r="K170" i="29"/>
  <c r="C31" i="17"/>
  <c r="K183" i="29"/>
  <c r="C15" i="17"/>
  <c r="K167" i="29"/>
  <c r="C40" i="17"/>
  <c r="K192" i="29"/>
  <c r="C43" i="17"/>
  <c r="K195" i="29"/>
  <c r="C35" i="17"/>
  <c r="K187" i="29"/>
  <c r="C21" i="17"/>
  <c r="K173" i="29"/>
  <c r="C44" i="17"/>
  <c r="C25" i="17"/>
  <c r="K177" i="29"/>
  <c r="C7" i="17"/>
  <c r="D16" i="21"/>
  <c r="D11" i="21"/>
  <c r="J247" i="29"/>
  <c r="D12" i="21"/>
  <c r="J248" i="29"/>
  <c r="L38" i="13"/>
  <c r="K39" i="12"/>
  <c r="M38" i="12"/>
  <c r="AB104" i="29"/>
  <c r="K72" i="11"/>
  <c r="K40" i="12"/>
  <c r="I16" i="21"/>
  <c r="I17" i="20"/>
  <c r="O72" i="11"/>
  <c r="AF104" i="29"/>
  <c r="K22" i="13"/>
  <c r="AC123" i="29"/>
  <c r="J38" i="12"/>
  <c r="P22" i="13"/>
  <c r="AH123" i="29"/>
  <c r="O38" i="12"/>
  <c r="AA137" i="29"/>
  <c r="I39" i="13"/>
  <c r="L18" i="21"/>
  <c r="L19" i="20"/>
  <c r="G46" i="17"/>
  <c r="X197" i="29"/>
  <c r="F47" i="16"/>
  <c r="G47" i="17"/>
  <c r="X198" i="29"/>
  <c r="D37" i="12"/>
  <c r="E36" i="13"/>
  <c r="K36" i="13"/>
  <c r="J37" i="12"/>
  <c r="J16" i="20"/>
  <c r="I40" i="13"/>
  <c r="H41" i="12"/>
  <c r="H46" i="12"/>
  <c r="E22" i="13"/>
  <c r="W123" i="29"/>
  <c r="D38" i="12"/>
  <c r="D40" i="12"/>
  <c r="O37" i="12"/>
  <c r="P36" i="13"/>
  <c r="N13" i="20"/>
  <c r="N13" i="21"/>
  <c r="AE249" i="29"/>
  <c r="M12" i="33"/>
  <c r="M53" i="16"/>
  <c r="J38" i="13"/>
  <c r="I39" i="12"/>
  <c r="E38" i="12"/>
  <c r="AG137" i="29"/>
  <c r="O39" i="13"/>
  <c r="J36" i="13"/>
  <c r="I40" i="12"/>
  <c r="I37" i="12"/>
  <c r="R70" i="11"/>
  <c r="O104" i="29"/>
  <c r="R84" i="10"/>
  <c r="R72" i="10"/>
  <c r="H21" i="20"/>
  <c r="H20" i="21"/>
  <c r="N41" i="12"/>
  <c r="O40" i="13"/>
  <c r="N46" i="12"/>
  <c r="G46" i="16"/>
  <c r="H10" i="21"/>
  <c r="Y246" i="29"/>
  <c r="G21" i="13"/>
  <c r="Y122" i="29"/>
  <c r="F22" i="12"/>
  <c r="F38" i="12"/>
  <c r="G22" i="13"/>
  <c r="Y123" i="29"/>
  <c r="AE136" i="29"/>
  <c r="M18" i="20"/>
  <c r="K12" i="20"/>
  <c r="K12" i="21"/>
  <c r="AB248" i="29"/>
  <c r="J52" i="16"/>
  <c r="J10" i="33"/>
  <c r="Y136" i="29"/>
  <c r="G38" i="12"/>
  <c r="G19" i="33"/>
  <c r="I20" i="20"/>
  <c r="I10" i="20"/>
  <c r="L46" i="12"/>
  <c r="L41" i="12"/>
  <c r="M40" i="13"/>
  <c r="E37" i="12"/>
  <c r="F36" i="13"/>
  <c r="E40" i="12"/>
  <c r="N51" i="16"/>
  <c r="N9" i="33"/>
  <c r="O11" i="20"/>
  <c r="O11" i="21"/>
  <c r="AF247" i="29"/>
  <c r="AE137" i="29"/>
  <c r="N36" i="29"/>
  <c r="L108" i="29"/>
  <c r="S7" i="13"/>
  <c r="T7" i="13"/>
  <c r="U7" i="13"/>
  <c r="V7" i="13"/>
  <c r="M39" i="8"/>
  <c r="N38" i="8"/>
  <c r="N38" i="9"/>
  <c r="O38" i="9"/>
  <c r="K104" i="29"/>
  <c r="T6" i="19"/>
  <c r="B39" i="9"/>
  <c r="K64" i="29"/>
  <c r="F35" i="9"/>
  <c r="Q62" i="29"/>
  <c r="L104" i="29"/>
  <c r="E72" i="11"/>
  <c r="S6" i="19"/>
  <c r="L64" i="29"/>
  <c r="C39" i="9"/>
  <c r="AC104" i="29"/>
  <c r="L72" i="11"/>
  <c r="Z79" i="29"/>
  <c r="I30" i="11"/>
  <c r="W182" i="29"/>
  <c r="AC77" i="29"/>
  <c r="L27" i="11"/>
  <c r="C9" i="7"/>
  <c r="C30" i="11"/>
  <c r="K79" i="29"/>
  <c r="I7" i="29"/>
  <c r="O253" i="29"/>
  <c r="W253" i="29"/>
  <c r="F19" i="21"/>
  <c r="O8" i="17"/>
  <c r="AF160" i="29"/>
  <c r="AH185" i="29"/>
  <c r="O185" i="29"/>
  <c r="O191" i="29"/>
  <c r="O165" i="29"/>
  <c r="AH165" i="29"/>
  <c r="W188" i="29"/>
  <c r="W163" i="29"/>
  <c r="AF177" i="29"/>
  <c r="E24" i="11"/>
  <c r="L75" i="29"/>
  <c r="L38" i="29"/>
  <c r="E76" i="11"/>
  <c r="H72" i="11"/>
  <c r="Y104" i="29"/>
  <c r="O4" i="29"/>
  <c r="F11" i="7"/>
  <c r="G10" i="7"/>
  <c r="F72" i="11"/>
  <c r="W104" i="29"/>
  <c r="O40" i="29"/>
  <c r="O11" i="9"/>
  <c r="L11" i="9"/>
  <c r="V40" i="29"/>
  <c r="AA108" i="29"/>
  <c r="O12" i="9"/>
  <c r="L12" i="9"/>
  <c r="V41" i="29"/>
  <c r="O41" i="29"/>
  <c r="W84" i="29"/>
  <c r="X81" i="29"/>
  <c r="G33" i="11"/>
  <c r="M36" i="11"/>
  <c r="AD83" i="29"/>
  <c r="O2" i="29"/>
  <c r="G7" i="7"/>
  <c r="J24" i="11"/>
  <c r="AA75" i="29"/>
  <c r="E13" i="26"/>
  <c r="O273" i="29"/>
  <c r="L64" i="11"/>
  <c r="AC98" i="29"/>
  <c r="L63" i="11"/>
  <c r="P142" i="29"/>
  <c r="L9" i="15"/>
  <c r="AE77" i="29"/>
  <c r="N27" i="11"/>
  <c r="AB101" i="29"/>
  <c r="K68" i="11"/>
  <c r="K69" i="11"/>
  <c r="W89" i="29"/>
  <c r="F21" i="11"/>
  <c r="W73" i="29"/>
  <c r="P58" i="11"/>
  <c r="AG95" i="29"/>
  <c r="L25" i="9"/>
  <c r="V52" i="29"/>
  <c r="O25" i="9"/>
  <c r="O52" i="29"/>
  <c r="J64" i="11"/>
  <c r="J63" i="11"/>
  <c r="AA98" i="29"/>
  <c r="J27" i="11"/>
  <c r="AA77" i="29"/>
  <c r="K7" i="15"/>
  <c r="V141" i="29"/>
  <c r="O141" i="29"/>
  <c r="O270" i="29"/>
  <c r="G36" i="11"/>
  <c r="X83" i="29"/>
  <c r="P87" i="29"/>
  <c r="S42" i="11"/>
  <c r="AC73" i="29"/>
  <c r="L21" i="11"/>
  <c r="AH77" i="29"/>
  <c r="Q27" i="11"/>
  <c r="J12" i="29"/>
  <c r="B21" i="7"/>
  <c r="C27" i="11"/>
  <c r="K77" i="29"/>
  <c r="O188" i="29"/>
  <c r="N9" i="11"/>
  <c r="AE65" i="29"/>
  <c r="AD69" i="29"/>
  <c r="M15" i="11"/>
  <c r="P38" i="29"/>
  <c r="M9" i="9"/>
  <c r="L59" i="11"/>
  <c r="AC95" i="29"/>
  <c r="L58" i="11"/>
  <c r="W103" i="29"/>
  <c r="R67" i="11"/>
  <c r="T67" i="11"/>
  <c r="W195" i="29"/>
  <c r="Y161" i="29"/>
  <c r="H8" i="17"/>
  <c r="Y160" i="29"/>
  <c r="E21" i="11"/>
  <c r="L73" i="29"/>
  <c r="Q72" i="11"/>
  <c r="AH104" i="29"/>
  <c r="Z69" i="29"/>
  <c r="I15" i="11"/>
  <c r="X69" i="29"/>
  <c r="G15" i="11"/>
  <c r="K12" i="29"/>
  <c r="K98" i="29"/>
  <c r="I4" i="29"/>
  <c r="W178" i="29"/>
  <c r="R26" i="17"/>
  <c r="Y177" i="29"/>
  <c r="Z185" i="29"/>
  <c r="W192" i="29"/>
  <c r="W166" i="29"/>
  <c r="W185" i="29"/>
  <c r="G19" i="21"/>
  <c r="X253" i="29"/>
  <c r="D76" i="11"/>
  <c r="L107" i="29"/>
  <c r="L86" i="29"/>
  <c r="AF136" i="29"/>
  <c r="N37" i="13"/>
  <c r="O115" i="29"/>
  <c r="T14" i="13"/>
  <c r="O6" i="29"/>
  <c r="G13" i="7"/>
  <c r="J268" i="29"/>
  <c r="L16" i="9"/>
  <c r="V45" i="29"/>
  <c r="O45" i="29"/>
  <c r="O16" i="9"/>
  <c r="G18" i="11"/>
  <c r="X71" i="29"/>
  <c r="X101" i="29"/>
  <c r="G69" i="11"/>
  <c r="G68" i="11"/>
  <c r="W90" i="29"/>
  <c r="R46" i="11"/>
  <c r="O90" i="29"/>
  <c r="Q53" i="11"/>
  <c r="AH92" i="29"/>
  <c r="O144" i="29"/>
  <c r="N11" i="15"/>
  <c r="K11" i="15"/>
  <c r="V144" i="29"/>
  <c r="F53" i="11"/>
  <c r="W92" i="29"/>
  <c r="F54" i="11"/>
  <c r="R50" i="11"/>
  <c r="P106" i="29"/>
  <c r="S77" i="11"/>
  <c r="F33" i="11"/>
  <c r="W81" i="29"/>
  <c r="R31" i="11"/>
  <c r="AD67" i="29"/>
  <c r="M12" i="11"/>
  <c r="O27" i="11"/>
  <c r="AF77" i="29"/>
  <c r="R22" i="11"/>
  <c r="O75" i="29"/>
  <c r="F24" i="11"/>
  <c r="W75" i="29"/>
  <c r="X75" i="29"/>
  <c r="G24" i="11"/>
  <c r="O21" i="11"/>
  <c r="AF73" i="29"/>
  <c r="L54" i="11"/>
  <c r="AC92" i="29"/>
  <c r="L53" i="11"/>
  <c r="L10" i="9"/>
  <c r="V39" i="29"/>
  <c r="O39" i="29"/>
  <c r="N59" i="11"/>
  <c r="AE95" i="29"/>
  <c r="N58" i="11"/>
  <c r="F18" i="11"/>
  <c r="W71" i="29"/>
  <c r="AC75" i="29"/>
  <c r="L24" i="11"/>
  <c r="AA92" i="29"/>
  <c r="B11" i="7"/>
  <c r="J4" i="29"/>
  <c r="AD185" i="29"/>
  <c r="O195" i="29"/>
  <c r="AH195" i="29"/>
  <c r="D58" i="11"/>
  <c r="D59" i="11"/>
  <c r="V13" i="13"/>
  <c r="T12" i="13"/>
  <c r="O58" i="11"/>
  <c r="AF95" i="29"/>
  <c r="O59" i="11"/>
  <c r="K24" i="11"/>
  <c r="AB75" i="29"/>
  <c r="AH83" i="29"/>
  <c r="Q36" i="11"/>
  <c r="AD79" i="29"/>
  <c r="M30" i="11"/>
  <c r="Y81" i="29"/>
  <c r="H33" i="11"/>
  <c r="W170" i="29"/>
  <c r="O36" i="29"/>
  <c r="L6" i="9"/>
  <c r="V36" i="29"/>
  <c r="O6" i="9"/>
  <c r="K20" i="15"/>
  <c r="V153" i="29"/>
  <c r="O153" i="29"/>
  <c r="W93" i="29"/>
  <c r="O237" i="29"/>
  <c r="S31" i="19"/>
  <c r="I36" i="11"/>
  <c r="Z83" i="29"/>
  <c r="K15" i="11"/>
  <c r="AB69" i="29"/>
  <c r="AF75" i="29"/>
  <c r="O24" i="11"/>
  <c r="X73" i="29"/>
  <c r="G21" i="11"/>
  <c r="H21" i="11"/>
  <c r="Y73" i="29"/>
  <c r="M39" i="13"/>
  <c r="C15" i="7"/>
  <c r="K7" i="29"/>
  <c r="AA253" i="29"/>
  <c r="J19" i="21"/>
  <c r="X254" i="29"/>
  <c r="G21" i="21"/>
  <c r="AH178" i="29"/>
  <c r="O178" i="29"/>
  <c r="R37" i="17"/>
  <c r="W189" i="29"/>
  <c r="W191" i="29"/>
  <c r="AH172" i="29"/>
  <c r="O172" i="29"/>
  <c r="E59" i="11"/>
  <c r="E58" i="11"/>
  <c r="L95" i="29"/>
  <c r="Z136" i="29"/>
  <c r="H37" i="13"/>
  <c r="AB71" i="29"/>
  <c r="K18" i="11"/>
  <c r="AH73" i="29"/>
  <c r="Q21" i="11"/>
  <c r="W91" i="29"/>
  <c r="W69" i="29"/>
  <c r="F15" i="11"/>
  <c r="Y77" i="29"/>
  <c r="H27" i="11"/>
  <c r="N64" i="11"/>
  <c r="N63" i="11"/>
  <c r="AE98" i="29"/>
  <c r="AC83" i="29"/>
  <c r="J36" i="11"/>
  <c r="AA83" i="29"/>
  <c r="Y92" i="29"/>
  <c r="H53" i="11"/>
  <c r="H54" i="11"/>
  <c r="X98" i="29"/>
  <c r="G64" i="11"/>
  <c r="G63" i="11"/>
  <c r="L9" i="11"/>
  <c r="AC65" i="29"/>
  <c r="R28" i="11"/>
  <c r="F30" i="11"/>
  <c r="W79" i="29"/>
  <c r="AD71" i="29"/>
  <c r="M18" i="11"/>
  <c r="AC79" i="29"/>
  <c r="L30" i="11"/>
  <c r="Y79" i="29"/>
  <c r="H30" i="11"/>
  <c r="P15" i="11"/>
  <c r="AG69" i="29"/>
  <c r="O44" i="29"/>
  <c r="O15" i="9"/>
  <c r="P64" i="29"/>
  <c r="M39" i="9"/>
  <c r="O5" i="29"/>
  <c r="G12" i="7"/>
  <c r="AA73" i="29"/>
  <c r="J21" i="11"/>
  <c r="F21" i="21"/>
  <c r="W254" i="29"/>
  <c r="W193" i="29"/>
  <c r="AG177" i="29"/>
  <c r="W172" i="29"/>
  <c r="F8" i="17"/>
  <c r="W160" i="29"/>
  <c r="W161" i="29"/>
  <c r="Y253" i="29"/>
  <c r="H19" i="21"/>
  <c r="AB177" i="29"/>
  <c r="AH171" i="29"/>
  <c r="O171" i="29"/>
  <c r="W179" i="29"/>
  <c r="O163" i="29"/>
  <c r="AH163" i="29"/>
  <c r="L12" i="29"/>
  <c r="D21" i="7"/>
  <c r="L83" i="29"/>
  <c r="E36" i="11"/>
  <c r="L98" i="29"/>
  <c r="E63" i="11"/>
  <c r="E64" i="11"/>
  <c r="E33" i="11"/>
  <c r="L81" i="29"/>
  <c r="J72" i="11"/>
  <c r="AA104" i="29"/>
  <c r="G17" i="7"/>
  <c r="O9" i="29"/>
  <c r="AG136" i="29"/>
  <c r="O37" i="13"/>
  <c r="AG92" i="29"/>
  <c r="X65" i="29"/>
  <c r="AA95" i="29"/>
  <c r="J59" i="11"/>
  <c r="J58" i="11"/>
  <c r="M63" i="11"/>
  <c r="M64" i="11"/>
  <c r="AD98" i="29"/>
  <c r="W80" i="29"/>
  <c r="R29" i="11"/>
  <c r="R30" i="11"/>
  <c r="T30" i="11"/>
  <c r="P137" i="29"/>
  <c r="R39" i="13"/>
  <c r="AE69" i="29"/>
  <c r="G59" i="11"/>
  <c r="X95" i="29"/>
  <c r="G58" i="11"/>
  <c r="AE92" i="29"/>
  <c r="N54" i="11"/>
  <c r="N53" i="11"/>
  <c r="I53" i="11"/>
  <c r="I54" i="11"/>
  <c r="Z92" i="29"/>
  <c r="W72" i="29"/>
  <c r="AA65" i="29"/>
  <c r="H68" i="11"/>
  <c r="Y101" i="29"/>
  <c r="H69" i="11"/>
  <c r="R43" i="13"/>
  <c r="P139" i="29"/>
  <c r="Z98" i="29"/>
  <c r="I63" i="11"/>
  <c r="I64" i="11"/>
  <c r="AD65" i="29"/>
  <c r="M9" i="11"/>
  <c r="N22" i="15"/>
  <c r="O155" i="29"/>
  <c r="K22" i="15"/>
  <c r="V155" i="29"/>
  <c r="R57" i="11"/>
  <c r="R58" i="11"/>
  <c r="T58" i="11"/>
  <c r="W97" i="29"/>
  <c r="G54" i="11"/>
  <c r="G53" i="11"/>
  <c r="X92" i="29"/>
  <c r="AC71" i="29"/>
  <c r="L18" i="11"/>
  <c r="F68" i="11"/>
  <c r="W101" i="29"/>
  <c r="F69" i="11"/>
  <c r="Z77" i="29"/>
  <c r="I27" i="11"/>
  <c r="O33" i="11"/>
  <c r="AF81" i="29"/>
  <c r="I33" i="11"/>
  <c r="Z81" i="29"/>
  <c r="R23" i="11"/>
  <c r="W76" i="29"/>
  <c r="O24" i="9"/>
  <c r="L24" i="9"/>
  <c r="V51" i="29"/>
  <c r="O51" i="29"/>
  <c r="Z75" i="29"/>
  <c r="I24" i="11"/>
  <c r="O134" i="29"/>
  <c r="V33" i="13"/>
  <c r="S33" i="13"/>
  <c r="U33" i="13"/>
  <c r="T33" i="13"/>
  <c r="H12" i="11"/>
  <c r="K71" i="29"/>
  <c r="C18" i="11"/>
  <c r="B9" i="7"/>
  <c r="J3" i="29"/>
  <c r="K101" i="29"/>
  <c r="C68" i="11"/>
  <c r="C69" i="11"/>
  <c r="I12" i="29"/>
  <c r="AH169" i="29"/>
  <c r="O169" i="29"/>
  <c r="W177" i="29"/>
  <c r="R16" i="17"/>
  <c r="W168" i="29"/>
  <c r="W164" i="29"/>
  <c r="Z161" i="29"/>
  <c r="W194" i="29"/>
  <c r="O194" i="29"/>
  <c r="AH194" i="29"/>
  <c r="AA177" i="29"/>
  <c r="X185" i="29"/>
  <c r="K6" i="15"/>
  <c r="V140" i="29"/>
  <c r="O140" i="29"/>
  <c r="N6" i="15"/>
  <c r="V34" i="13"/>
  <c r="S34" i="13"/>
  <c r="O135" i="29"/>
  <c r="T34" i="13"/>
  <c r="U34" i="13"/>
  <c r="O12" i="29"/>
  <c r="G20" i="7"/>
  <c r="F21" i="7"/>
  <c r="G21" i="7"/>
  <c r="G16" i="7"/>
  <c r="O8" i="29"/>
  <c r="AG83" i="29"/>
  <c r="P36" i="11"/>
  <c r="Q9" i="11"/>
  <c r="AD81" i="29"/>
  <c r="O11" i="29"/>
  <c r="G19" i="7"/>
  <c r="H64" i="11"/>
  <c r="Y98" i="29"/>
  <c r="H63" i="11"/>
  <c r="AB98" i="29"/>
  <c r="K63" i="11"/>
  <c r="K64" i="11"/>
  <c r="S27" i="13"/>
  <c r="T27" i="13"/>
  <c r="O128" i="29"/>
  <c r="AG81" i="29"/>
  <c r="P33" i="11"/>
  <c r="AF69" i="29"/>
  <c r="O15" i="11"/>
  <c r="W98" i="29"/>
  <c r="F63" i="11"/>
  <c r="F64" i="11"/>
  <c r="R60" i="11"/>
  <c r="T60" i="11"/>
  <c r="J269" i="29"/>
  <c r="W82" i="29"/>
  <c r="W96" i="29"/>
  <c r="J15" i="11"/>
  <c r="AA69" i="29"/>
  <c r="AF83" i="29"/>
  <c r="W94" i="29"/>
  <c r="K53" i="11"/>
  <c r="K54" i="11"/>
  <c r="AB92" i="29"/>
  <c r="K58" i="11"/>
  <c r="K59" i="11"/>
  <c r="AB95" i="29"/>
  <c r="I18" i="11"/>
  <c r="Z71" i="29"/>
  <c r="O14" i="9"/>
  <c r="L14" i="9"/>
  <c r="V43" i="29"/>
  <c r="O43" i="29"/>
  <c r="N33" i="11"/>
  <c r="AE81" i="29"/>
  <c r="G27" i="11"/>
  <c r="X77" i="29"/>
  <c r="AB67" i="29"/>
  <c r="K12" i="11"/>
  <c r="O19" i="9"/>
  <c r="O47" i="29"/>
  <c r="Q12" i="11"/>
  <c r="AH67" i="29"/>
  <c r="Y185" i="29"/>
  <c r="O182" i="29"/>
  <c r="AH180" i="29"/>
  <c r="O180" i="29"/>
  <c r="W167" i="29"/>
  <c r="E18" i="11"/>
  <c r="L71" i="29"/>
  <c r="D64" i="11"/>
  <c r="D63" i="11"/>
  <c r="O10" i="29"/>
  <c r="G18" i="7"/>
  <c r="O268" i="29"/>
  <c r="E8" i="26"/>
  <c r="F8" i="26"/>
  <c r="O56" i="29"/>
  <c r="O29" i="9"/>
  <c r="L29" i="9"/>
  <c r="V56" i="29"/>
  <c r="W102" i="29"/>
  <c r="R66" i="11"/>
  <c r="S24" i="13"/>
  <c r="U24" i="13"/>
  <c r="V24" i="13"/>
  <c r="O125" i="29"/>
  <c r="T24" i="13"/>
  <c r="Q33" i="11"/>
  <c r="AH81" i="29"/>
  <c r="T32" i="13"/>
  <c r="S32" i="13"/>
  <c r="U32" i="13"/>
  <c r="V32" i="13"/>
  <c r="O133" i="29"/>
  <c r="W74" i="29"/>
  <c r="Q18" i="11"/>
  <c r="AH71" i="29"/>
  <c r="O7" i="9"/>
  <c r="L7" i="9"/>
  <c r="V37" i="29"/>
  <c r="O37" i="29"/>
  <c r="Q59" i="11"/>
  <c r="AH95" i="29"/>
  <c r="Q58" i="11"/>
  <c r="AC67" i="29"/>
  <c r="L12" i="11"/>
  <c r="L27" i="9"/>
  <c r="V54" i="29"/>
  <c r="O54" i="29"/>
  <c r="AC81" i="29"/>
  <c r="M59" i="11"/>
  <c r="M58" i="11"/>
  <c r="AD95" i="29"/>
  <c r="N16" i="15"/>
  <c r="O149" i="29"/>
  <c r="K16" i="15"/>
  <c r="V149" i="29"/>
  <c r="H9" i="11"/>
  <c r="M68" i="11"/>
  <c r="AD101" i="29"/>
  <c r="M69" i="11"/>
  <c r="N24" i="11"/>
  <c r="AE75" i="29"/>
  <c r="F12" i="26"/>
  <c r="J272" i="29"/>
  <c r="H58" i="11"/>
  <c r="Y95" i="29"/>
  <c r="H59" i="11"/>
  <c r="F11" i="26"/>
  <c r="J271" i="29"/>
  <c r="O42" i="29"/>
  <c r="L13" i="9"/>
  <c r="V42" i="29"/>
  <c r="O13" i="9"/>
  <c r="G30" i="11"/>
  <c r="X79" i="29"/>
  <c r="Q64" i="11"/>
  <c r="AH98" i="29"/>
  <c r="Q63" i="11"/>
  <c r="AE73" i="29"/>
  <c r="N21" i="11"/>
  <c r="R19" i="17"/>
  <c r="W171" i="29"/>
  <c r="E30" i="11"/>
  <c r="U28" i="11"/>
  <c r="U29" i="11"/>
  <c r="L79" i="29"/>
  <c r="AA81" i="29"/>
  <c r="J33" i="11"/>
  <c r="K73" i="29"/>
  <c r="AH166" i="29"/>
  <c r="O166" i="29"/>
  <c r="W175" i="29"/>
  <c r="K4" i="29"/>
  <c r="C11" i="7"/>
  <c r="C17" i="21"/>
  <c r="A9" i="7"/>
  <c r="I3" i="29"/>
  <c r="O193" i="29"/>
  <c r="AH193" i="29"/>
  <c r="AH190" i="29"/>
  <c r="O190" i="29"/>
  <c r="AH179" i="29"/>
  <c r="O179" i="29"/>
  <c r="AE161" i="29"/>
  <c r="AH192" i="29"/>
  <c r="X252" i="29"/>
  <c r="G17" i="21"/>
  <c r="W187" i="29"/>
  <c r="L244" i="29"/>
  <c r="D9" i="9"/>
  <c r="M38" i="29"/>
  <c r="Z104" i="29"/>
  <c r="I72" i="11"/>
  <c r="O117" i="29"/>
  <c r="U18" i="13"/>
  <c r="O119" i="29"/>
  <c r="T18" i="13"/>
  <c r="J274" i="29"/>
  <c r="AB81" i="29"/>
  <c r="AB77" i="29"/>
  <c r="K27" i="11"/>
  <c r="K36" i="11"/>
  <c r="AB83" i="29"/>
  <c r="W66" i="29"/>
  <c r="R26" i="11"/>
  <c r="R27" i="11"/>
  <c r="T27" i="11"/>
  <c r="W78" i="29"/>
  <c r="Q24" i="11"/>
  <c r="AH75" i="29"/>
  <c r="W99" i="29"/>
  <c r="R61" i="11"/>
  <c r="J68" i="11"/>
  <c r="J69" i="11"/>
  <c r="AA101" i="29"/>
  <c r="AG75" i="29"/>
  <c r="P24" i="11"/>
  <c r="AE101" i="29"/>
  <c r="N68" i="11"/>
  <c r="N69" i="11"/>
  <c r="H24" i="11"/>
  <c r="Y75" i="29"/>
  <c r="O271" i="29"/>
  <c r="E11" i="26"/>
  <c r="Z73" i="29"/>
  <c r="C12" i="11"/>
  <c r="K67" i="29"/>
  <c r="Q8" i="17"/>
  <c r="AH160" i="29"/>
  <c r="O161" i="29"/>
  <c r="X161" i="29"/>
  <c r="T17" i="13"/>
  <c r="S17" i="13"/>
  <c r="U17" i="13"/>
  <c r="O196" i="29"/>
  <c r="AH196" i="29"/>
  <c r="G37" i="13"/>
  <c r="AC185" i="29"/>
  <c r="P32" i="17"/>
  <c r="AG184" i="29"/>
  <c r="W190" i="29"/>
  <c r="W173" i="29"/>
  <c r="AH189" i="29"/>
  <c r="O189" i="29"/>
  <c r="W180" i="29"/>
  <c r="R28" i="17"/>
  <c r="AG161" i="29"/>
  <c r="L4" i="29"/>
  <c r="D11" i="7"/>
  <c r="G11" i="7"/>
  <c r="L3" i="29"/>
  <c r="D9" i="7"/>
  <c r="L7" i="29"/>
  <c r="D15" i="7"/>
  <c r="E15" i="11"/>
  <c r="L69" i="29"/>
  <c r="E27" i="11"/>
  <c r="U25" i="11"/>
  <c r="L77" i="29"/>
  <c r="L33" i="9"/>
  <c r="V60" i="29"/>
  <c r="O33" i="9"/>
  <c r="O60" i="29"/>
  <c r="U30" i="13"/>
  <c r="U23" i="13"/>
  <c r="T23" i="13"/>
  <c r="O124" i="29"/>
  <c r="S23" i="13"/>
  <c r="V23" i="13"/>
  <c r="O3" i="29"/>
  <c r="F9" i="7"/>
  <c r="G8" i="7"/>
  <c r="O64" i="11"/>
  <c r="AF98" i="29"/>
  <c r="O63" i="11"/>
  <c r="I58" i="11"/>
  <c r="Z95" i="29"/>
  <c r="I59" i="11"/>
  <c r="AF67" i="29"/>
  <c r="O154" i="29"/>
  <c r="K21" i="15"/>
  <c r="V154" i="29"/>
  <c r="N21" i="15"/>
  <c r="K10" i="15"/>
  <c r="V143" i="29"/>
  <c r="N10" i="15"/>
  <c r="O143" i="29"/>
  <c r="AA79" i="29"/>
  <c r="J30" i="11"/>
  <c r="AJ275" i="29"/>
  <c r="C15" i="28"/>
  <c r="O244" i="29"/>
  <c r="T8" i="21"/>
  <c r="K14" i="15"/>
  <c r="V147" i="29"/>
  <c r="O147" i="29"/>
  <c r="O272" i="29"/>
  <c r="E12" i="26"/>
  <c r="AI275" i="29"/>
  <c r="AI285" i="29"/>
  <c r="R25" i="11"/>
  <c r="W77" i="29"/>
  <c r="F27" i="11"/>
  <c r="K30" i="11"/>
  <c r="AB79" i="29"/>
  <c r="I68" i="11"/>
  <c r="I69" i="11"/>
  <c r="Z101" i="29"/>
  <c r="W100" i="29"/>
  <c r="R62" i="11"/>
  <c r="O100" i="29"/>
  <c r="J244" i="29"/>
  <c r="I24" i="17"/>
  <c r="Z176" i="29"/>
  <c r="Z177" i="29"/>
  <c r="AH174" i="29"/>
  <c r="O174" i="29"/>
  <c r="AH199" i="29"/>
  <c r="O199" i="29"/>
  <c r="F15" i="7"/>
  <c r="G15" i="7"/>
  <c r="G14" i="7"/>
  <c r="O7" i="29"/>
  <c r="O152" i="29"/>
  <c r="AD104" i="29"/>
  <c r="M72" i="11"/>
  <c r="N30" i="11"/>
  <c r="AE79" i="29"/>
  <c r="K65" i="29"/>
  <c r="C9" i="11"/>
  <c r="C58" i="11"/>
  <c r="K95" i="29"/>
  <c r="C59" i="11"/>
  <c r="I244" i="29"/>
  <c r="Z253" i="29"/>
  <c r="I19" i="21"/>
  <c r="W186" i="29"/>
  <c r="AA161" i="29"/>
  <c r="J8" i="17"/>
  <c r="AA160" i="29"/>
  <c r="W196" i="29"/>
  <c r="R45" i="17"/>
  <c r="W169" i="29"/>
  <c r="R17" i="17"/>
  <c r="W165" i="29"/>
  <c r="O187" i="29"/>
  <c r="AH187" i="29"/>
  <c r="O177" i="29"/>
  <c r="Q24" i="17"/>
  <c r="AH176" i="29"/>
  <c r="AH177" i="29"/>
  <c r="AH162" i="29"/>
  <c r="O162" i="29"/>
  <c r="L92" i="29"/>
  <c r="E54" i="11"/>
  <c r="E53" i="11"/>
  <c r="E68" i="11"/>
  <c r="L101" i="29"/>
  <c r="E69" i="11"/>
  <c r="O131" i="29"/>
  <c r="S30" i="13"/>
  <c r="T30" i="13"/>
  <c r="V30" i="13"/>
  <c r="AA136" i="29"/>
  <c r="I37" i="13"/>
  <c r="W86" i="29"/>
  <c r="V17" i="13"/>
  <c r="L32" i="9"/>
  <c r="V59" i="29"/>
  <c r="O59" i="29"/>
  <c r="O32" i="9"/>
  <c r="O132" i="29"/>
  <c r="U31" i="13"/>
  <c r="V31" i="13"/>
  <c r="S31" i="13"/>
  <c r="T31" i="13"/>
  <c r="AG104" i="29"/>
  <c r="P72" i="11"/>
  <c r="AE104" i="29"/>
  <c r="X104" i="29"/>
  <c r="G72" i="11"/>
  <c r="M27" i="11"/>
  <c r="AD77" i="29"/>
  <c r="Y69" i="29"/>
  <c r="H15" i="11"/>
  <c r="W68" i="29"/>
  <c r="AG73" i="29"/>
  <c r="P21" i="11"/>
  <c r="P18" i="11"/>
  <c r="AG71" i="29"/>
  <c r="O145" i="29"/>
  <c r="K12" i="15"/>
  <c r="V145" i="29"/>
  <c r="N12" i="15"/>
  <c r="M24" i="11"/>
  <c r="AD75" i="29"/>
  <c r="O68" i="11"/>
  <c r="AF101" i="29"/>
  <c r="O69" i="11"/>
  <c r="W67" i="29"/>
  <c r="F12" i="11"/>
  <c r="W70" i="29"/>
  <c r="G12" i="11"/>
  <c r="X67" i="29"/>
  <c r="AF71" i="29"/>
  <c r="O18" i="11"/>
  <c r="Y71" i="29"/>
  <c r="H18" i="11"/>
  <c r="F59" i="11"/>
  <c r="R55" i="11"/>
  <c r="W95" i="29"/>
  <c r="F58" i="11"/>
  <c r="F13" i="26"/>
  <c r="J273" i="29"/>
  <c r="K17" i="15"/>
  <c r="V150" i="29"/>
  <c r="N17" i="15"/>
  <c r="O150" i="29"/>
  <c r="J7" i="29"/>
  <c r="B15" i="7"/>
  <c r="AF79" i="29"/>
  <c r="O30" i="11"/>
  <c r="C24" i="11"/>
  <c r="K75" i="29"/>
  <c r="O186" i="29"/>
  <c r="AH186" i="29"/>
  <c r="AE177" i="29"/>
  <c r="Y252" i="29"/>
  <c r="H17" i="21"/>
  <c r="M37" i="13"/>
  <c r="C54" i="11"/>
  <c r="K92" i="29"/>
  <c r="K81" i="29"/>
  <c r="C33" i="11"/>
  <c r="K69" i="29"/>
  <c r="C15" i="11"/>
  <c r="K83" i="29"/>
  <c r="C36" i="11"/>
  <c r="AD161" i="29"/>
  <c r="AA185" i="29"/>
  <c r="F17" i="21"/>
  <c r="W252" i="29"/>
  <c r="W162" i="29"/>
  <c r="R10" i="17"/>
  <c r="AH173" i="29"/>
  <c r="O173" i="29"/>
  <c r="W181" i="29"/>
  <c r="R29" i="17"/>
  <c r="O183" i="29"/>
  <c r="AH183" i="29"/>
  <c r="X177" i="29"/>
  <c r="G24" i="17"/>
  <c r="X176" i="29"/>
  <c r="D53" i="11"/>
  <c r="D54" i="11"/>
  <c r="E12" i="11"/>
  <c r="L67" i="29"/>
  <c r="D68" i="11"/>
  <c r="D69" i="11"/>
  <c r="O245" i="29"/>
  <c r="T9" i="21"/>
  <c r="L21" i="9"/>
  <c r="V49" i="29"/>
  <c r="O21" i="9"/>
  <c r="O49" i="29"/>
  <c r="Q30" i="11"/>
  <c r="AH79" i="29"/>
  <c r="AG77" i="29"/>
  <c r="P27" i="11"/>
  <c r="M54" i="11"/>
  <c r="M53" i="11"/>
  <c r="AD92" i="29"/>
  <c r="O58" i="29"/>
  <c r="L31" i="9"/>
  <c r="V58" i="29"/>
  <c r="O31" i="9"/>
  <c r="K23" i="15"/>
  <c r="V156" i="29"/>
  <c r="N23" i="15"/>
  <c r="O156" i="29"/>
  <c r="O269" i="29"/>
  <c r="E9" i="26"/>
  <c r="F9" i="26"/>
  <c r="AF92" i="29"/>
  <c r="O53" i="11"/>
  <c r="O54" i="11"/>
  <c r="AA71" i="29"/>
  <c r="AG101" i="29"/>
  <c r="P69" i="11"/>
  <c r="P68" i="11"/>
  <c r="P63" i="11"/>
  <c r="P64" i="11"/>
  <c r="AG98" i="29"/>
  <c r="S72" i="11"/>
  <c r="P104" i="29"/>
  <c r="P30" i="11"/>
  <c r="AG79" i="29"/>
  <c r="N15" i="15"/>
  <c r="K15" i="15"/>
  <c r="V148" i="29"/>
  <c r="O148" i="29"/>
  <c r="O110" i="29"/>
  <c r="D41" i="12"/>
  <c r="E40" i="13"/>
  <c r="E41" i="13"/>
  <c r="D46" i="12"/>
  <c r="K38" i="13"/>
  <c r="J39" i="12"/>
  <c r="P38" i="13"/>
  <c r="AH137" i="29"/>
  <c r="O39" i="12"/>
  <c r="AC136" i="29"/>
  <c r="K37" i="13"/>
  <c r="Y254" i="29"/>
  <c r="H21" i="21"/>
  <c r="J39" i="13"/>
  <c r="AB137" i="29"/>
  <c r="J16" i="21"/>
  <c r="J17" i="20"/>
  <c r="H46" i="17"/>
  <c r="Y197" i="29"/>
  <c r="G47" i="16"/>
  <c r="H47" i="17"/>
  <c r="Y198" i="29"/>
  <c r="G49" i="16"/>
  <c r="K10" i="33"/>
  <c r="K52" i="16"/>
  <c r="L12" i="20"/>
  <c r="L12" i="21"/>
  <c r="AC248" i="29"/>
  <c r="K16" i="20"/>
  <c r="D39" i="12"/>
  <c r="E38" i="13"/>
  <c r="E39" i="13"/>
  <c r="O46" i="13"/>
  <c r="O41" i="13"/>
  <c r="AG138" i="29"/>
  <c r="E41" i="12"/>
  <c r="E46" i="12"/>
  <c r="F40" i="13"/>
  <c r="X138" i="29"/>
  <c r="Z252" i="29"/>
  <c r="I17" i="21"/>
  <c r="E37" i="13"/>
  <c r="W136" i="29"/>
  <c r="M18" i="21"/>
  <c r="M19" i="20"/>
  <c r="AC253" i="29"/>
  <c r="L19" i="21"/>
  <c r="AD137" i="29"/>
  <c r="L39" i="13"/>
  <c r="X136" i="29"/>
  <c r="F37" i="13"/>
  <c r="N18" i="20"/>
  <c r="O51" i="16"/>
  <c r="O9" i="33"/>
  <c r="P11" i="20"/>
  <c r="P11" i="21"/>
  <c r="AG247" i="29"/>
  <c r="K41" i="12"/>
  <c r="L40" i="13"/>
  <c r="K46" i="12"/>
  <c r="M46" i="13"/>
  <c r="AE138" i="29"/>
  <c r="M41" i="13"/>
  <c r="N38" i="13"/>
  <c r="M39" i="12"/>
  <c r="M40" i="12"/>
  <c r="N12" i="33"/>
  <c r="N53" i="16"/>
  <c r="O13" i="20"/>
  <c r="O13" i="21"/>
  <c r="AF249" i="29"/>
  <c r="H46" i="16"/>
  <c r="I10" i="21"/>
  <c r="Z246" i="29"/>
  <c r="I21" i="20"/>
  <c r="I20" i="21"/>
  <c r="O40" i="12"/>
  <c r="F39" i="12"/>
  <c r="G38" i="13"/>
  <c r="F40" i="12"/>
  <c r="AA138" i="29"/>
  <c r="I46" i="13"/>
  <c r="I41" i="13"/>
  <c r="J40" i="13"/>
  <c r="I41" i="12"/>
  <c r="I46" i="12"/>
  <c r="AB136" i="29"/>
  <c r="J37" i="13"/>
  <c r="J10" i="20"/>
  <c r="H19" i="33"/>
  <c r="J20" i="20"/>
  <c r="P37" i="13"/>
  <c r="AH136" i="29"/>
  <c r="J40" i="12"/>
  <c r="H38" i="13"/>
  <c r="Z137" i="29"/>
  <c r="G39" i="12"/>
  <c r="G40" i="12"/>
  <c r="F38" i="13"/>
  <c r="E39" i="12"/>
  <c r="L38" i="9"/>
  <c r="T62" i="11"/>
  <c r="T25" i="11"/>
  <c r="O77" i="29"/>
  <c r="V22" i="11"/>
  <c r="O76" i="29"/>
  <c r="T23" i="11"/>
  <c r="V28" i="11"/>
  <c r="T29" i="11"/>
  <c r="T61" i="11"/>
  <c r="O99" i="29"/>
  <c r="R64" i="11"/>
  <c r="T64" i="11"/>
  <c r="O81" i="29"/>
  <c r="T31" i="11"/>
  <c r="T66" i="11"/>
  <c r="O102" i="29"/>
  <c r="T57" i="11"/>
  <c r="O97" i="29"/>
  <c r="O78" i="29"/>
  <c r="V25" i="11"/>
  <c r="T28" i="11"/>
  <c r="O79" i="29"/>
  <c r="T46" i="11"/>
  <c r="T55" i="11"/>
  <c r="O95" i="29"/>
  <c r="G9" i="7"/>
  <c r="T22" i="11"/>
  <c r="R24" i="11"/>
  <c r="T24" i="11"/>
  <c r="U22" i="11"/>
  <c r="T50" i="11"/>
  <c r="L10" i="33"/>
  <c r="L52" i="16"/>
  <c r="M12" i="20"/>
  <c r="M12" i="21"/>
  <c r="AD248" i="29"/>
  <c r="O46" i="12"/>
  <c r="P40" i="13"/>
  <c r="O41" i="12"/>
  <c r="N19" i="20"/>
  <c r="N18" i="21"/>
  <c r="N19" i="21"/>
  <c r="O18" i="20"/>
  <c r="F46" i="13"/>
  <c r="X137" i="29"/>
  <c r="F39" i="13"/>
  <c r="G39" i="13"/>
  <c r="Y137" i="29"/>
  <c r="H40" i="13"/>
  <c r="G46" i="12"/>
  <c r="G41" i="12"/>
  <c r="J46" i="12"/>
  <c r="J41" i="12"/>
  <c r="K40" i="13"/>
  <c r="P39" i="13"/>
  <c r="G40" i="13"/>
  <c r="F41" i="12"/>
  <c r="F46" i="12"/>
  <c r="K10" i="20"/>
  <c r="I19" i="33"/>
  <c r="K20" i="20"/>
  <c r="W137" i="29"/>
  <c r="Q9" i="33"/>
  <c r="S9" i="33"/>
  <c r="Q11" i="20"/>
  <c r="Q11" i="21"/>
  <c r="AH247" i="29"/>
  <c r="P51" i="16"/>
  <c r="Z254" i="29"/>
  <c r="I21" i="21"/>
  <c r="H39" i="13"/>
  <c r="H49" i="16"/>
  <c r="I46" i="17"/>
  <c r="Z197" i="29"/>
  <c r="H47" i="16"/>
  <c r="I47" i="17"/>
  <c r="Z198" i="29"/>
  <c r="O12" i="33"/>
  <c r="O53" i="16"/>
  <c r="P13" i="20"/>
  <c r="P13" i="21"/>
  <c r="AG249" i="29"/>
  <c r="I46" i="16"/>
  <c r="J10" i="21"/>
  <c r="AA246" i="29"/>
  <c r="N40" i="13"/>
  <c r="AF138" i="29"/>
  <c r="M46" i="12"/>
  <c r="M41" i="12"/>
  <c r="AC137" i="29"/>
  <c r="K39" i="13"/>
  <c r="M19" i="21"/>
  <c r="AD253" i="29"/>
  <c r="K16" i="21"/>
  <c r="K17" i="20"/>
  <c r="J20" i="21"/>
  <c r="J21" i="20"/>
  <c r="AF137" i="29"/>
  <c r="N39" i="13"/>
  <c r="L16" i="20"/>
  <c r="W138" i="29"/>
  <c r="E46" i="13"/>
  <c r="U23" i="11"/>
  <c r="L10" i="20"/>
  <c r="J19" i="33"/>
  <c r="L20" i="20"/>
  <c r="Q12" i="33"/>
  <c r="S12" i="33"/>
  <c r="Q13" i="20"/>
  <c r="Q13" i="21"/>
  <c r="AH249" i="29"/>
  <c r="P53" i="16"/>
  <c r="M16" i="20"/>
  <c r="N41" i="13"/>
  <c r="P18" i="20"/>
  <c r="K10" i="21"/>
  <c r="AB246" i="29"/>
  <c r="J46" i="16"/>
  <c r="I47" i="16"/>
  <c r="J47" i="17"/>
  <c r="AA198" i="29"/>
  <c r="J46" i="17"/>
  <c r="I49" i="16"/>
  <c r="AB252" i="29"/>
  <c r="K17" i="21"/>
  <c r="Y138" i="29"/>
  <c r="G41" i="13"/>
  <c r="G46" i="13"/>
  <c r="L17" i="20"/>
  <c r="L16" i="21"/>
  <c r="K46" i="13"/>
  <c r="K41" i="13"/>
  <c r="AC138" i="29"/>
  <c r="P41" i="13"/>
  <c r="P46" i="13"/>
  <c r="AH138" i="29"/>
  <c r="AA254" i="29"/>
  <c r="J21" i="21"/>
  <c r="K20" i="21"/>
  <c r="K21" i="20"/>
  <c r="O19" i="20"/>
  <c r="O18" i="21"/>
  <c r="M10" i="33"/>
  <c r="N12" i="20"/>
  <c r="N12" i="21"/>
  <c r="AE248" i="29"/>
  <c r="M52" i="16"/>
  <c r="AA197" i="29"/>
  <c r="O19" i="21"/>
  <c r="AF253" i="29"/>
  <c r="J49" i="16"/>
  <c r="J47" i="16"/>
  <c r="K47" i="17"/>
  <c r="AB198" i="29"/>
  <c r="K46" i="17"/>
  <c r="AB197" i="29"/>
  <c r="P18" i="21"/>
  <c r="P19" i="20"/>
  <c r="L17" i="21"/>
  <c r="AC252" i="29"/>
  <c r="N52" i="16"/>
  <c r="N10" i="33"/>
  <c r="O12" i="20"/>
  <c r="O12" i="21"/>
  <c r="AF248" i="29"/>
  <c r="N16" i="20"/>
  <c r="L21" i="20"/>
  <c r="L20" i="21"/>
  <c r="Q17" i="33"/>
  <c r="S17" i="33"/>
  <c r="Q18" i="20"/>
  <c r="M16" i="21"/>
  <c r="M17" i="20"/>
  <c r="M10" i="20"/>
  <c r="K19" i="33"/>
  <c r="M20" i="20"/>
  <c r="L10" i="21"/>
  <c r="AC246" i="29"/>
  <c r="K46" i="16"/>
  <c r="L21" i="21"/>
  <c r="AC254" i="29"/>
  <c r="N16" i="21"/>
  <c r="N17" i="20"/>
  <c r="L19" i="33"/>
  <c r="N20" i="20"/>
  <c r="M10" i="21"/>
  <c r="AD246" i="29"/>
  <c r="L46" i="16"/>
  <c r="O52" i="16"/>
  <c r="O10" i="33"/>
  <c r="P12" i="20"/>
  <c r="P12" i="21"/>
  <c r="AG248" i="29"/>
  <c r="K49" i="16"/>
  <c r="L46" i="17"/>
  <c r="AC197" i="29"/>
  <c r="K47" i="16"/>
  <c r="L47" i="17"/>
  <c r="AC198" i="29"/>
  <c r="O16" i="20"/>
  <c r="AG253" i="29"/>
  <c r="P19" i="21"/>
  <c r="M21" i="20"/>
  <c r="M20" i="21"/>
  <c r="M17" i="21"/>
  <c r="AD252" i="29"/>
  <c r="Q18" i="21"/>
  <c r="Q19" i="21"/>
  <c r="Q19" i="20"/>
  <c r="P16" i="20"/>
  <c r="N20" i="21"/>
  <c r="N21" i="20"/>
  <c r="M21" i="21"/>
  <c r="AD254" i="29"/>
  <c r="Q10" i="33"/>
  <c r="S10" i="33"/>
  <c r="Q12" i="20"/>
  <c r="Q12" i="21"/>
  <c r="AH248" i="29"/>
  <c r="P52" i="16"/>
  <c r="M46" i="17"/>
  <c r="AD197" i="29"/>
  <c r="L47" i="16"/>
  <c r="M47" i="17"/>
  <c r="AD198" i="29"/>
  <c r="L49" i="16"/>
  <c r="AH253" i="29"/>
  <c r="N10" i="21"/>
  <c r="AE246" i="29"/>
  <c r="O16" i="21"/>
  <c r="O17" i="20"/>
  <c r="M19" i="33"/>
  <c r="O20" i="20"/>
  <c r="O10" i="20"/>
  <c r="AE252" i="29"/>
  <c r="N17" i="21"/>
  <c r="O21" i="20"/>
  <c r="O20" i="21"/>
  <c r="O17" i="21"/>
  <c r="AF252" i="29"/>
  <c r="N46" i="17"/>
  <c r="AE197" i="29"/>
  <c r="M47" i="16"/>
  <c r="N47" i="17"/>
  <c r="AE198" i="29"/>
  <c r="AE254" i="29"/>
  <c r="N21" i="21"/>
  <c r="P16" i="21"/>
  <c r="P17" i="20"/>
  <c r="N19" i="33"/>
  <c r="P20" i="20"/>
  <c r="N46" i="16"/>
  <c r="O10" i="21"/>
  <c r="AF246" i="29"/>
  <c r="Q14" i="33"/>
  <c r="Q16" i="20"/>
  <c r="P20" i="21"/>
  <c r="P21" i="20"/>
  <c r="P10" i="21"/>
  <c r="AG246" i="29"/>
  <c r="Q10" i="20"/>
  <c r="Q8" i="33"/>
  <c r="S8" i="33"/>
  <c r="P17" i="21"/>
  <c r="AG252" i="29"/>
  <c r="AF254" i="29"/>
  <c r="O21" i="21"/>
  <c r="O46" i="17"/>
  <c r="AF197" i="29"/>
  <c r="N49" i="16"/>
  <c r="N47" i="16"/>
  <c r="O47" i="17"/>
  <c r="AF198" i="29"/>
  <c r="Q17" i="20"/>
  <c r="Q16" i="21"/>
  <c r="Q17" i="21"/>
  <c r="AH252" i="29"/>
  <c r="Q20" i="20"/>
  <c r="Q10" i="21"/>
  <c r="AH246" i="29"/>
  <c r="P46" i="16"/>
  <c r="P46" i="17"/>
  <c r="AG197" i="29"/>
  <c r="O47" i="16"/>
  <c r="P47" i="17"/>
  <c r="AG198" i="29"/>
  <c r="P21" i="21"/>
  <c r="AG254" i="29"/>
  <c r="P47" i="16"/>
  <c r="Q46" i="17"/>
  <c r="P49" i="16"/>
  <c r="Q46" i="16"/>
  <c r="Q47" i="16"/>
  <c r="Q20" i="21"/>
  <c r="Q21" i="20"/>
  <c r="S15" i="20"/>
  <c r="S15" i="21"/>
  <c r="T15" i="21"/>
  <c r="R47" i="17"/>
  <c r="O197" i="29"/>
  <c r="AH197" i="29"/>
  <c r="Q47" i="17"/>
  <c r="Q14" i="20"/>
  <c r="Q14" i="21"/>
  <c r="AH250" i="29"/>
  <c r="S14" i="20"/>
  <c r="T14" i="20"/>
  <c r="S14" i="21"/>
  <c r="AH198" i="29"/>
  <c r="O198" i="29"/>
  <c r="T15" i="20"/>
  <c r="O251" i="29"/>
  <c r="O250" i="29"/>
  <c r="F14" i="25"/>
  <c r="F18" i="22"/>
  <c r="AO201" i="29"/>
  <c r="O220" i="29"/>
  <c r="S9" i="19"/>
  <c r="T7" i="19"/>
  <c r="AH231" i="29"/>
  <c r="S22" i="19"/>
  <c r="T22" i="19"/>
  <c r="T17" i="19"/>
  <c r="O228" i="29"/>
  <c r="S17" i="19"/>
  <c r="S16" i="18"/>
  <c r="M18" i="19"/>
  <c r="AD211" i="29"/>
  <c r="G18" i="19"/>
  <c r="X211" i="29"/>
  <c r="AE208" i="29"/>
  <c r="Y208" i="29"/>
  <c r="AA207" i="29"/>
  <c r="AC206" i="29"/>
  <c r="T15" i="19"/>
  <c r="AH210" i="29"/>
  <c r="O226" i="29"/>
  <c r="R16" i="19"/>
  <c r="R18" i="19"/>
  <c r="O229" i="29"/>
  <c r="Q18" i="19"/>
  <c r="S13" i="19"/>
  <c r="K18" i="19"/>
  <c r="AB211" i="29"/>
  <c r="E19" i="18"/>
  <c r="T14" i="19"/>
  <c r="S14" i="19"/>
  <c r="E18" i="19"/>
  <c r="L229" i="29"/>
  <c r="C18" i="19"/>
  <c r="K211" i="29"/>
  <c r="P18" i="19"/>
  <c r="AG211" i="29"/>
  <c r="R18" i="18"/>
  <c r="C19" i="18"/>
  <c r="S7" i="19"/>
  <c r="C11" i="19"/>
  <c r="L218" i="29"/>
  <c r="D11" i="19"/>
  <c r="K204" i="29"/>
  <c r="D26" i="19"/>
  <c r="D19" i="19"/>
  <c r="L212" i="29"/>
  <c r="L204" i="29"/>
  <c r="E11" i="19"/>
  <c r="T9" i="19"/>
  <c r="K201" i="29"/>
  <c r="M24" i="14"/>
  <c r="L8" i="14"/>
  <c r="M28" i="8"/>
  <c r="K19" i="15"/>
  <c r="V152" i="29"/>
  <c r="M18" i="15"/>
  <c r="M8" i="15"/>
  <c r="N20" i="9"/>
  <c r="O48" i="29"/>
  <c r="J11" i="14"/>
  <c r="J11" i="15"/>
  <c r="U144" i="29"/>
  <c r="H11" i="15"/>
  <c r="S144" i="29"/>
  <c r="H10" i="14"/>
  <c r="C24" i="15"/>
  <c r="F18" i="14"/>
  <c r="F18" i="15"/>
  <c r="Q151" i="29"/>
  <c r="J19" i="14"/>
  <c r="J18" i="14"/>
  <c r="J18" i="15"/>
  <c r="U151" i="29"/>
  <c r="F19" i="15"/>
  <c r="Q152" i="29"/>
  <c r="E19" i="15"/>
  <c r="N152" i="29"/>
  <c r="F20" i="15"/>
  <c r="Q153" i="29"/>
  <c r="F14" i="14"/>
  <c r="F14" i="15"/>
  <c r="Q147" i="29"/>
  <c r="C20" i="9"/>
  <c r="N20" i="8"/>
  <c r="B9" i="15"/>
  <c r="E20" i="8"/>
  <c r="C17" i="8"/>
  <c r="D8" i="14"/>
  <c r="D10" i="15"/>
  <c r="M143" i="29"/>
  <c r="E16" i="15"/>
  <c r="N149" i="29"/>
  <c r="E14" i="15"/>
  <c r="N147" i="29"/>
  <c r="J27" i="13"/>
  <c r="AB128" i="29"/>
  <c r="U27" i="13"/>
  <c r="R36" i="13"/>
  <c r="R40" i="13"/>
  <c r="Q41" i="12"/>
  <c r="G76" i="11"/>
  <c r="X107" i="29"/>
  <c r="G85" i="10"/>
  <c r="K76" i="11"/>
  <c r="AB107" i="29"/>
  <c r="K85" i="10"/>
  <c r="M41" i="10"/>
  <c r="M41" i="11"/>
  <c r="AD88" i="29"/>
  <c r="AA67" i="29"/>
  <c r="R38" i="10"/>
  <c r="AG86" i="29"/>
  <c r="Z67" i="29"/>
  <c r="Q41" i="11"/>
  <c r="R76" i="10"/>
  <c r="T38" i="10"/>
  <c r="T76" i="10"/>
  <c r="T85" i="10"/>
  <c r="R41" i="10"/>
  <c r="R41" i="11"/>
  <c r="O88" i="29"/>
  <c r="I40" i="10"/>
  <c r="I40" i="11"/>
  <c r="I41" i="10"/>
  <c r="M37" i="11"/>
  <c r="AD85" i="29"/>
  <c r="I39" i="10"/>
  <c r="G9" i="11"/>
  <c r="X66" i="29"/>
  <c r="AA86" i="29"/>
  <c r="I41" i="11"/>
  <c r="Z88" i="29"/>
  <c r="M75" i="10"/>
  <c r="M75" i="11"/>
  <c r="M76" i="10"/>
  <c r="F85" i="10"/>
  <c r="O83" i="10"/>
  <c r="P9" i="11"/>
  <c r="L41" i="11"/>
  <c r="AC88" i="29"/>
  <c r="I85" i="10"/>
  <c r="G39" i="10"/>
  <c r="F76" i="11"/>
  <c r="G40" i="10"/>
  <c r="G42" i="10"/>
  <c r="G75" i="10"/>
  <c r="G75" i="11"/>
  <c r="G37" i="11"/>
  <c r="X85" i="29"/>
  <c r="I38" i="11"/>
  <c r="Q76" i="10"/>
  <c r="V37" i="10"/>
  <c r="C39" i="11"/>
  <c r="C75" i="11"/>
  <c r="C77" i="11"/>
  <c r="C83" i="10"/>
  <c r="C77" i="10"/>
  <c r="T41" i="10"/>
  <c r="K85" i="29"/>
  <c r="D75" i="11"/>
  <c r="D77" i="11"/>
  <c r="C39" i="10"/>
  <c r="C40" i="10"/>
  <c r="H17" i="8"/>
  <c r="H17" i="9"/>
  <c r="S46" i="29"/>
  <c r="R28" i="18"/>
  <c r="S28" i="18"/>
  <c r="N17" i="9"/>
  <c r="O17" i="9"/>
  <c r="Q38" i="18"/>
  <c r="Q38" i="19"/>
  <c r="O242" i="29"/>
  <c r="R38" i="18"/>
  <c r="R38" i="19"/>
  <c r="AH242" i="29"/>
  <c r="I8" i="9"/>
  <c r="T38" i="29"/>
  <c r="I37" i="8"/>
  <c r="I42" i="8"/>
  <c r="J6" i="14"/>
  <c r="J6" i="15"/>
  <c r="U140" i="29"/>
  <c r="K16" i="8"/>
  <c r="K16" i="9"/>
  <c r="U45" i="29"/>
  <c r="K11" i="8"/>
  <c r="K11" i="9"/>
  <c r="U40" i="29"/>
  <c r="J19" i="15"/>
  <c r="U152" i="29"/>
  <c r="F12" i="9"/>
  <c r="Q41" i="29"/>
  <c r="J13" i="14"/>
  <c r="F16" i="15"/>
  <c r="Q149" i="29"/>
  <c r="K30" i="8"/>
  <c r="K30" i="9"/>
  <c r="U57" i="29"/>
  <c r="K29" i="8"/>
  <c r="K29" i="9"/>
  <c r="U56" i="29"/>
  <c r="K24" i="8"/>
  <c r="K24" i="9"/>
  <c r="U51" i="29"/>
  <c r="F26" i="8"/>
  <c r="F26" i="9"/>
  <c r="Q53" i="29"/>
  <c r="E26" i="9"/>
  <c r="N53" i="29"/>
  <c r="K21" i="9"/>
  <c r="U49" i="29"/>
  <c r="G15" i="9"/>
  <c r="R44" i="29"/>
  <c r="G37" i="8"/>
  <c r="G38" i="8"/>
  <c r="G38" i="9"/>
  <c r="R64" i="29"/>
  <c r="G37" i="9"/>
  <c r="R63" i="29"/>
  <c r="F13" i="9"/>
  <c r="Q42" i="29"/>
  <c r="K13" i="8"/>
  <c r="K13" i="9"/>
  <c r="U42" i="29"/>
  <c r="K15" i="8"/>
  <c r="K15" i="9"/>
  <c r="U44" i="29"/>
  <c r="F15" i="9"/>
  <c r="Q44" i="29"/>
  <c r="C9" i="9"/>
  <c r="E10" i="9"/>
  <c r="N39" i="29"/>
  <c r="E8" i="8"/>
  <c r="E8" i="9"/>
  <c r="B22" i="9"/>
  <c r="B17" i="9"/>
  <c r="B34" i="8"/>
  <c r="B35" i="8"/>
  <c r="B42" i="8"/>
  <c r="B9" i="9"/>
  <c r="K38" i="29"/>
  <c r="AH211" i="29"/>
  <c r="O211" i="29"/>
  <c r="T16" i="19"/>
  <c r="S16" i="19"/>
  <c r="O227" i="29"/>
  <c r="T18" i="19"/>
  <c r="S18" i="19"/>
  <c r="C19" i="19"/>
  <c r="K212" i="29"/>
  <c r="R26" i="18"/>
  <c r="S18" i="18"/>
  <c r="R19" i="18"/>
  <c r="S19" i="18"/>
  <c r="T18" i="18"/>
  <c r="E19" i="19"/>
  <c r="L222" i="29"/>
  <c r="E26" i="19"/>
  <c r="L9" i="14"/>
  <c r="N18" i="15"/>
  <c r="K18" i="15"/>
  <c r="V151" i="29"/>
  <c r="O151" i="29"/>
  <c r="L20" i="9"/>
  <c r="V48" i="29"/>
  <c r="H8" i="14"/>
  <c r="H10" i="15"/>
  <c r="S143" i="29"/>
  <c r="M9" i="15"/>
  <c r="M22" i="8"/>
  <c r="N28" i="9"/>
  <c r="L157" i="29"/>
  <c r="N24" i="15"/>
  <c r="D8" i="15"/>
  <c r="M142" i="29"/>
  <c r="D28" i="8"/>
  <c r="D22" i="8"/>
  <c r="F10" i="14"/>
  <c r="F10" i="15"/>
  <c r="Q143" i="29"/>
  <c r="L48" i="29"/>
  <c r="C18" i="8"/>
  <c r="E28" i="18"/>
  <c r="C17" i="9"/>
  <c r="F20" i="8"/>
  <c r="F20" i="9"/>
  <c r="Q48" i="29"/>
  <c r="E20" i="9"/>
  <c r="N48" i="29"/>
  <c r="Q76" i="11"/>
  <c r="Q85" i="10"/>
  <c r="AH86" i="29"/>
  <c r="M85" i="10"/>
  <c r="M76" i="11"/>
  <c r="AD107" i="29"/>
  <c r="Z86" i="29"/>
  <c r="AH88" i="29"/>
  <c r="G83" i="10"/>
  <c r="W107" i="29"/>
  <c r="R85" i="10"/>
  <c r="R76" i="11"/>
  <c r="O107" i="29"/>
  <c r="C42" i="10"/>
  <c r="C40" i="11"/>
  <c r="K106" i="29"/>
  <c r="I38" i="8"/>
  <c r="I38" i="9"/>
  <c r="T64" i="29"/>
  <c r="I37" i="9"/>
  <c r="T63" i="29"/>
  <c r="J13" i="15"/>
  <c r="U146" i="29"/>
  <c r="J26" i="8"/>
  <c r="J26" i="9"/>
  <c r="K26" i="8"/>
  <c r="K26" i="9"/>
  <c r="U53" i="29"/>
  <c r="B23" i="9"/>
  <c r="K50" i="29"/>
  <c r="B35" i="9"/>
  <c r="K62" i="29"/>
  <c r="B34" i="9"/>
  <c r="K61" i="29"/>
  <c r="K46" i="29"/>
  <c r="B18" i="9"/>
  <c r="L230" i="29"/>
  <c r="H8" i="15"/>
  <c r="S142" i="29"/>
  <c r="H28" i="8"/>
  <c r="E28" i="19"/>
  <c r="D28" i="9"/>
  <c r="M55" i="29"/>
  <c r="AH107" i="29"/>
  <c r="H28" i="9"/>
  <c r="S55" i="29"/>
  <c r="H22" i="8"/>
  <c r="J46" i="13"/>
  <c r="J41" i="13"/>
  <c r="AD138" i="29"/>
  <c r="L41" i="13"/>
  <c r="K21" i="21"/>
  <c r="AB254" i="29"/>
  <c r="AB138" i="29"/>
  <c r="U26" i="11"/>
  <c r="L28" i="9"/>
  <c r="V55" i="29"/>
  <c r="O55" i="29"/>
  <c r="R41" i="13"/>
  <c r="R46" i="13"/>
  <c r="P138" i="29"/>
  <c r="C42" i="11"/>
  <c r="K87" i="29"/>
  <c r="P136" i="29"/>
  <c r="R37" i="13"/>
  <c r="AH254" i="29"/>
  <c r="Q21" i="21"/>
  <c r="J17" i="21"/>
  <c r="AA252" i="29"/>
  <c r="L46" i="29"/>
  <c r="C18" i="9"/>
  <c r="H41" i="13"/>
  <c r="Z138" i="29"/>
  <c r="H46" i="13"/>
  <c r="T26" i="11"/>
  <c r="A21" i="7"/>
  <c r="K105" i="29"/>
  <c r="I2" i="29"/>
  <c r="N8" i="17"/>
  <c r="AE160" i="29"/>
  <c r="N19" i="15"/>
  <c r="K8" i="15"/>
  <c r="V142" i="29"/>
  <c r="R46" i="17"/>
  <c r="AE253" i="29"/>
  <c r="N46" i="13"/>
  <c r="O103" i="29"/>
  <c r="O176" i="29"/>
  <c r="O80" i="29"/>
  <c r="O168" i="29"/>
  <c r="AH188" i="29"/>
  <c r="M24" i="17"/>
  <c r="AD176" i="29"/>
  <c r="D21" i="11"/>
  <c r="O142" i="29"/>
  <c r="R63" i="11"/>
  <c r="T63" i="11"/>
  <c r="R12" i="17"/>
  <c r="R11" i="17"/>
  <c r="O98" i="29"/>
  <c r="A11" i="7"/>
  <c r="O32" i="17"/>
  <c r="AF184" i="29"/>
  <c r="R27" i="17"/>
  <c r="M8" i="17"/>
  <c r="AD160" i="29"/>
  <c r="C64" i="11"/>
  <c r="O92" i="29"/>
  <c r="C63" i="11"/>
  <c r="R33" i="17"/>
  <c r="R38" i="17"/>
  <c r="K8" i="17"/>
  <c r="AB160" i="29"/>
  <c r="O12" i="11"/>
  <c r="AF68" i="29"/>
  <c r="O20" i="9"/>
  <c r="F41" i="13"/>
  <c r="L39" i="9"/>
  <c r="R72" i="11"/>
  <c r="T72" i="11"/>
  <c r="R22" i="17"/>
  <c r="G32" i="17"/>
  <c r="X184" i="29"/>
  <c r="K24" i="17"/>
  <c r="AB176" i="29"/>
  <c r="L8" i="17"/>
  <c r="AC160" i="29"/>
  <c r="N20" i="15"/>
  <c r="N43" i="13"/>
  <c r="B7" i="15"/>
  <c r="K141" i="29"/>
  <c r="B34" i="13"/>
  <c r="K135" i="29"/>
  <c r="B28" i="9"/>
  <c r="K55" i="29"/>
  <c r="D41" i="17"/>
  <c r="L193" i="29"/>
  <c r="D44" i="17"/>
  <c r="D42" i="17"/>
  <c r="L194" i="29"/>
  <c r="D25" i="17"/>
  <c r="L177" i="29"/>
  <c r="D31" i="17"/>
  <c r="L183" i="29"/>
  <c r="D8" i="17"/>
  <c r="L160" i="29"/>
  <c r="D30" i="17"/>
  <c r="L182" i="29"/>
  <c r="F30" i="9"/>
  <c r="Q57" i="29"/>
  <c r="J17" i="15"/>
  <c r="U150" i="29"/>
  <c r="N41" i="11"/>
  <c r="I42" i="13"/>
  <c r="N28" i="13"/>
  <c r="AF129" i="29"/>
  <c r="M22" i="13"/>
  <c r="AE123" i="29"/>
  <c r="K31" i="9"/>
  <c r="U58" i="29"/>
  <c r="L42" i="13"/>
  <c r="L43" i="13"/>
  <c r="J22" i="15"/>
  <c r="U155" i="29"/>
  <c r="G8" i="9"/>
  <c r="R38" i="29"/>
  <c r="E7" i="15"/>
  <c r="N141" i="29"/>
  <c r="J42" i="13"/>
  <c r="J20" i="15"/>
  <c r="U153" i="29"/>
  <c r="G42" i="13"/>
  <c r="M38" i="11"/>
  <c r="K19" i="11"/>
  <c r="Q13" i="11"/>
  <c r="I20" i="11"/>
  <c r="R29" i="19"/>
  <c r="S13" i="11"/>
  <c r="P69" i="29"/>
  <c r="K32" i="11"/>
  <c r="S17" i="11"/>
  <c r="P72" i="29"/>
  <c r="R30" i="19"/>
  <c r="J17" i="11"/>
  <c r="C10" i="26"/>
  <c r="M31" i="9"/>
  <c r="P58" i="29"/>
  <c r="O35" i="11"/>
  <c r="B22" i="28"/>
  <c r="M32" i="11"/>
  <c r="D26" i="13"/>
  <c r="K45" i="11"/>
  <c r="AB89" i="29"/>
  <c r="M19" i="11"/>
  <c r="F8" i="13"/>
  <c r="X109" i="29"/>
  <c r="H34" i="11"/>
  <c r="K27" i="13"/>
  <c r="AC128" i="29"/>
  <c r="D21" i="28"/>
  <c r="AK290" i="29"/>
  <c r="R44" i="11"/>
  <c r="J8" i="11"/>
  <c r="L17" i="13"/>
  <c r="AD118" i="29"/>
  <c r="I47" i="11"/>
  <c r="K8" i="13"/>
  <c r="AC109" i="29"/>
  <c r="N34" i="11"/>
  <c r="L35" i="11"/>
  <c r="B10" i="28"/>
  <c r="N11" i="11"/>
  <c r="P20" i="13"/>
  <c r="AH121" i="29"/>
  <c r="K25" i="9"/>
  <c r="U52" i="29"/>
  <c r="L23" i="13"/>
  <c r="AD124" i="29"/>
  <c r="L36" i="13"/>
  <c r="F16" i="9"/>
  <c r="Q45" i="29"/>
  <c r="F11" i="9"/>
  <c r="Q40" i="29"/>
  <c r="M17" i="13"/>
  <c r="AE118" i="29"/>
  <c r="J52" i="11"/>
  <c r="P56" i="11"/>
  <c r="L20" i="13"/>
  <c r="AD121" i="29"/>
  <c r="M33" i="9"/>
  <c r="P60" i="29"/>
  <c r="M34" i="9"/>
  <c r="P61" i="29"/>
  <c r="M13" i="15"/>
  <c r="C18" i="46"/>
  <c r="AM25" i="29"/>
  <c r="C12" i="46"/>
  <c r="AM19" i="29"/>
  <c r="R22" i="13"/>
  <c r="P123" i="29"/>
  <c r="E12" i="13"/>
  <c r="W113" i="29"/>
  <c r="M22" i="9"/>
  <c r="P50" i="29"/>
  <c r="N16" i="11"/>
  <c r="L13" i="11"/>
  <c r="G27" i="13"/>
  <c r="Y128" i="29"/>
  <c r="S25" i="11"/>
  <c r="P77" i="29"/>
  <c r="F34" i="11"/>
  <c r="Q51" i="11"/>
  <c r="N71" i="11"/>
  <c r="G45" i="11"/>
  <c r="P52" i="11"/>
  <c r="I11" i="11"/>
  <c r="N14" i="11"/>
  <c r="F14" i="13"/>
  <c r="X115" i="29"/>
  <c r="D17" i="28"/>
  <c r="C23" i="28"/>
  <c r="Q65" i="11"/>
  <c r="D6" i="28"/>
  <c r="L65" i="11"/>
  <c r="M25" i="13"/>
  <c r="AE126" i="29"/>
  <c r="K20" i="11"/>
  <c r="AB74" i="29"/>
  <c r="Q28" i="13"/>
  <c r="N35" i="11"/>
  <c r="AE84" i="29"/>
  <c r="L32" i="11"/>
  <c r="H41" i="11"/>
  <c r="D9" i="21"/>
  <c r="J245" i="29"/>
  <c r="N37" i="9"/>
  <c r="K6" i="9"/>
  <c r="U36" i="29"/>
  <c r="F24" i="9"/>
  <c r="Q51" i="29"/>
  <c r="K18" i="21"/>
  <c r="J21" i="13"/>
  <c r="AB122" i="29"/>
  <c r="F27" i="9"/>
  <c r="Q54" i="29"/>
  <c r="K33" i="9"/>
  <c r="U60" i="29"/>
  <c r="G41" i="11"/>
  <c r="X88" i="29"/>
  <c r="J16" i="15"/>
  <c r="U149" i="29"/>
  <c r="D14" i="26"/>
  <c r="O274" i="29"/>
  <c r="E41" i="11"/>
  <c r="K12" i="9"/>
  <c r="U41" i="29"/>
  <c r="H19" i="9"/>
  <c r="S47" i="29"/>
  <c r="J15" i="15"/>
  <c r="U148" i="29"/>
  <c r="J21" i="15"/>
  <c r="U154" i="29"/>
  <c r="O42" i="13"/>
  <c r="E42" i="13"/>
  <c r="R34" i="13"/>
  <c r="P135" i="29"/>
  <c r="I76" i="11"/>
  <c r="Z107" i="29"/>
  <c r="AJ284" i="29"/>
  <c r="O184" i="29"/>
  <c r="AH184" i="29"/>
  <c r="W184" i="29"/>
  <c r="W176" i="29"/>
  <c r="O160" i="29"/>
  <c r="K32" i="17"/>
  <c r="AB184" i="29"/>
  <c r="R34" i="17"/>
  <c r="AC161" i="29"/>
  <c r="AH170" i="29"/>
  <c r="R40" i="17"/>
  <c r="M51" i="16"/>
  <c r="Q32" i="16"/>
  <c r="J24" i="17"/>
  <c r="AA176" i="29"/>
  <c r="O181" i="29"/>
  <c r="P8" i="17"/>
  <c r="AG160" i="29"/>
  <c r="R25" i="17"/>
  <c r="L24" i="17"/>
  <c r="AC176" i="29"/>
  <c r="AH164" i="29"/>
  <c r="R42" i="17"/>
  <c r="R30" i="17"/>
  <c r="R13" i="17"/>
  <c r="AB161" i="29"/>
  <c r="R20" i="17"/>
  <c r="R36" i="17"/>
  <c r="AD177" i="29"/>
  <c r="N32" i="17"/>
  <c r="AE184" i="29"/>
  <c r="O167" i="29"/>
  <c r="I32" i="17"/>
  <c r="Z184" i="29"/>
  <c r="AE185" i="29"/>
  <c r="R15" i="17"/>
  <c r="P24" i="17"/>
  <c r="AG176" i="29"/>
  <c r="L32" i="17"/>
  <c r="AC184" i="29"/>
  <c r="R35" i="17"/>
  <c r="H32" i="17"/>
  <c r="Y184" i="29"/>
  <c r="I8" i="17"/>
  <c r="Z160" i="29"/>
  <c r="H24" i="17"/>
  <c r="Y176" i="29"/>
  <c r="N24" i="17"/>
  <c r="AE176" i="29"/>
  <c r="R21" i="17"/>
  <c r="E49" i="16"/>
  <c r="G8" i="17"/>
  <c r="R23" i="17"/>
  <c r="R39" i="17"/>
  <c r="M32" i="17"/>
  <c r="AD184" i="29"/>
  <c r="J32" i="17"/>
  <c r="AA184" i="29"/>
  <c r="AH175" i="29"/>
  <c r="R31" i="17"/>
  <c r="R18" i="17"/>
  <c r="R14" i="17"/>
  <c r="R43" i="17"/>
  <c r="O24" i="17"/>
  <c r="AF176" i="29"/>
  <c r="O64" i="29"/>
  <c r="N39" i="9"/>
  <c r="O39" i="9"/>
  <c r="V64" i="29"/>
  <c r="N18" i="9"/>
  <c r="K19" i="8"/>
  <c r="K19" i="9"/>
  <c r="U47" i="29"/>
  <c r="E9" i="8"/>
  <c r="F10" i="9"/>
  <c r="Q39" i="29"/>
  <c r="O10" i="9"/>
  <c r="K10" i="8"/>
  <c r="K10" i="9"/>
  <c r="U39" i="29"/>
  <c r="N38" i="29"/>
  <c r="E9" i="9"/>
  <c r="F9" i="8"/>
  <c r="F8" i="9"/>
  <c r="O27" i="9"/>
  <c r="H22" i="9"/>
  <c r="S50" i="29"/>
  <c r="K27" i="8"/>
  <c r="K27" i="9"/>
  <c r="U54" i="29"/>
  <c r="J27" i="8"/>
  <c r="J27" i="9"/>
  <c r="Q26" i="13"/>
  <c r="V26" i="13"/>
  <c r="E43" i="13"/>
  <c r="W139" i="29"/>
  <c r="P42" i="13"/>
  <c r="D43" i="12"/>
  <c r="K42" i="13"/>
  <c r="K43" i="13"/>
  <c r="I43" i="12"/>
  <c r="F43" i="12"/>
  <c r="R25" i="12"/>
  <c r="Q25" i="13"/>
  <c r="O43" i="13"/>
  <c r="AG139" i="29"/>
  <c r="AB139" i="29"/>
  <c r="J43" i="13"/>
  <c r="AE139" i="29"/>
  <c r="N43" i="12"/>
  <c r="S26" i="12"/>
  <c r="Z139" i="29"/>
  <c r="AF139" i="29"/>
  <c r="AA139" i="29"/>
  <c r="I43" i="13"/>
  <c r="G43" i="13"/>
  <c r="Y139" i="29"/>
  <c r="P29" i="12"/>
  <c r="H29" i="12"/>
  <c r="AD139" i="29"/>
  <c r="F42" i="13"/>
  <c r="H43" i="12"/>
  <c r="O127" i="29"/>
  <c r="U26" i="13"/>
  <c r="T26" i="13"/>
  <c r="S26" i="13"/>
  <c r="AD82" i="29"/>
  <c r="M33" i="11"/>
  <c r="AH69" i="29"/>
  <c r="Q15" i="11"/>
  <c r="AI291" i="29"/>
  <c r="AG94" i="29"/>
  <c r="P54" i="11"/>
  <c r="P53" i="11"/>
  <c r="AA66" i="29"/>
  <c r="AD86" i="29"/>
  <c r="R38" i="11"/>
  <c r="X89" i="29"/>
  <c r="R45" i="11"/>
  <c r="E10" i="26"/>
  <c r="E14" i="26"/>
  <c r="F14" i="26"/>
  <c r="F10" i="26"/>
  <c r="J270" i="29"/>
  <c r="AB73" i="29"/>
  <c r="K21" i="11"/>
  <c r="R19" i="11"/>
  <c r="AC82" i="29"/>
  <c r="L33" i="11"/>
  <c r="AE105" i="29"/>
  <c r="N72" i="11"/>
  <c r="O146" i="29"/>
  <c r="N13" i="15"/>
  <c r="K13" i="15"/>
  <c r="V146" i="29"/>
  <c r="AA72" i="29"/>
  <c r="R17" i="11"/>
  <c r="J18" i="11"/>
  <c r="AE88" i="29"/>
  <c r="Y88" i="29"/>
  <c r="L37" i="13"/>
  <c r="AD136" i="29"/>
  <c r="AH93" i="29"/>
  <c r="Q54" i="11"/>
  <c r="R51" i="11"/>
  <c r="O236" i="29"/>
  <c r="T30" i="19"/>
  <c r="S30" i="19"/>
  <c r="AB253" i="29"/>
  <c r="K19" i="21"/>
  <c r="AC101" i="29"/>
  <c r="L68" i="11"/>
  <c r="L69" i="11"/>
  <c r="R65" i="11"/>
  <c r="F36" i="11"/>
  <c r="R34" i="11"/>
  <c r="W83" i="29"/>
  <c r="Y83" i="29"/>
  <c r="H36" i="11"/>
  <c r="AE70" i="29"/>
  <c r="N15" i="11"/>
  <c r="R14" i="11"/>
  <c r="AK275" i="29"/>
  <c r="D15" i="28"/>
  <c r="AK284" i="29"/>
  <c r="AE68" i="29"/>
  <c r="AB82" i="29"/>
  <c r="K33" i="11"/>
  <c r="R32" i="11"/>
  <c r="L46" i="13"/>
  <c r="Z91" i="29"/>
  <c r="R47" i="11"/>
  <c r="Z68" i="29"/>
  <c r="R11" i="11"/>
  <c r="V28" i="13"/>
  <c r="U28" i="13"/>
  <c r="T28" i="13"/>
  <c r="S28" i="13"/>
  <c r="O129" i="29"/>
  <c r="Q68" i="11"/>
  <c r="Q69" i="11"/>
  <c r="AH101" i="29"/>
  <c r="AG96" i="29"/>
  <c r="R56" i="11"/>
  <c r="P59" i="11"/>
  <c r="AI279" i="29"/>
  <c r="B15" i="28"/>
  <c r="AI284" i="29"/>
  <c r="M21" i="11"/>
  <c r="AD73" i="29"/>
  <c r="R8" i="11"/>
  <c r="AC139" i="29"/>
  <c r="AF84" i="29"/>
  <c r="O36" i="11"/>
  <c r="O63" i="29"/>
  <c r="L37" i="9"/>
  <c r="V63" i="29"/>
  <c r="O37" i="9"/>
  <c r="AJ292" i="29"/>
  <c r="AC69" i="29"/>
  <c r="L15" i="11"/>
  <c r="R13" i="11"/>
  <c r="AA94" i="29"/>
  <c r="J54" i="11"/>
  <c r="J53" i="11"/>
  <c r="R52" i="11"/>
  <c r="AC84" i="29"/>
  <c r="L36" i="11"/>
  <c r="R35" i="11"/>
  <c r="T29" i="19"/>
  <c r="O235" i="29"/>
  <c r="S29" i="19"/>
  <c r="I12" i="11"/>
  <c r="L88" i="29"/>
  <c r="T41" i="11"/>
  <c r="AK286" i="29"/>
  <c r="R16" i="11"/>
  <c r="AE71" i="29"/>
  <c r="N18" i="11"/>
  <c r="AE83" i="29"/>
  <c r="N36" i="11"/>
  <c r="Z74" i="29"/>
  <c r="R20" i="11"/>
  <c r="I21" i="11"/>
  <c r="R24" i="17"/>
  <c r="R8" i="17"/>
  <c r="X160" i="29"/>
  <c r="R32" i="17"/>
  <c r="Q38" i="29"/>
  <c r="F9" i="9"/>
  <c r="P43" i="13"/>
  <c r="AH139" i="29"/>
  <c r="U25" i="13"/>
  <c r="V25" i="13"/>
  <c r="S25" i="13"/>
  <c r="T25" i="13"/>
  <c r="O126" i="29"/>
  <c r="R29" i="12"/>
  <c r="S29" i="12"/>
  <c r="J29" i="12"/>
  <c r="K29" i="13"/>
  <c r="AC130" i="29"/>
  <c r="N29" i="12"/>
  <c r="I29" i="12"/>
  <c r="J29" i="13"/>
  <c r="AB130" i="29"/>
  <c r="D29" i="12"/>
  <c r="K29" i="12"/>
  <c r="L29" i="13"/>
  <c r="AD130" i="29"/>
  <c r="Q29" i="13"/>
  <c r="V29" i="13"/>
  <c r="L29" i="12"/>
  <c r="M29" i="13"/>
  <c r="AE130" i="29"/>
  <c r="O29" i="12"/>
  <c r="G29" i="12"/>
  <c r="F29" i="12"/>
  <c r="G29" i="13"/>
  <c r="Y130" i="29"/>
  <c r="E29" i="12"/>
  <c r="E30" i="12"/>
  <c r="F43" i="13"/>
  <c r="X139" i="29"/>
  <c r="M29" i="12"/>
  <c r="N29" i="13"/>
  <c r="AF130" i="29"/>
  <c r="E29" i="13"/>
  <c r="W130" i="29"/>
  <c r="D30" i="12"/>
  <c r="L30" i="12"/>
  <c r="N30" i="12"/>
  <c r="O29" i="13"/>
  <c r="AG130" i="29"/>
  <c r="I29" i="13"/>
  <c r="AA130" i="29"/>
  <c r="H30" i="12"/>
  <c r="O70" i="29"/>
  <c r="V13" i="11"/>
  <c r="T14" i="11"/>
  <c r="T45" i="11"/>
  <c r="O89" i="29"/>
  <c r="T51" i="11"/>
  <c r="O93" i="29"/>
  <c r="R54" i="11"/>
  <c r="T54" i="11"/>
  <c r="O94" i="29"/>
  <c r="T52" i="11"/>
  <c r="T71" i="11"/>
  <c r="R53" i="11"/>
  <c r="T53" i="11"/>
  <c r="T13" i="11"/>
  <c r="R15" i="11"/>
  <c r="T15" i="11"/>
  <c r="U13" i="11"/>
  <c r="U14" i="11"/>
  <c r="O69" i="29"/>
  <c r="R33" i="11"/>
  <c r="T33" i="11"/>
  <c r="T32" i="11"/>
  <c r="U31" i="11"/>
  <c r="V31" i="11"/>
  <c r="O82" i="29"/>
  <c r="T38" i="11"/>
  <c r="O86" i="29"/>
  <c r="U16" i="11"/>
  <c r="R18" i="11"/>
  <c r="T18" i="11"/>
  <c r="O71" i="29"/>
  <c r="T16" i="11"/>
  <c r="O74" i="29"/>
  <c r="V19" i="11"/>
  <c r="T20" i="11"/>
  <c r="R59" i="11"/>
  <c r="T59" i="11"/>
  <c r="O96" i="29"/>
  <c r="T56" i="11"/>
  <c r="T47" i="11"/>
  <c r="O91" i="29"/>
  <c r="O130" i="29"/>
  <c r="T19" i="11"/>
  <c r="R21" i="11"/>
  <c r="T21" i="11"/>
  <c r="U19" i="11"/>
  <c r="U20" i="11"/>
  <c r="O73" i="29"/>
  <c r="T11" i="11"/>
  <c r="V10" i="11"/>
  <c r="O68" i="29"/>
  <c r="T65" i="11"/>
  <c r="R68" i="11"/>
  <c r="T68" i="11"/>
  <c r="O101" i="29"/>
  <c r="R69" i="11"/>
  <c r="T69" i="11"/>
  <c r="T8" i="11"/>
  <c r="O66" i="29"/>
  <c r="V34" i="11"/>
  <c r="T35" i="11"/>
  <c r="O84" i="29"/>
  <c r="T34" i="11"/>
  <c r="O83" i="29"/>
  <c r="U34" i="11"/>
  <c r="R36" i="11"/>
  <c r="T36" i="11"/>
  <c r="V16" i="11"/>
  <c r="T17" i="11"/>
  <c r="O72" i="29"/>
  <c r="I30" i="12"/>
  <c r="J30" i="12"/>
  <c r="F29" i="13"/>
  <c r="X130" i="29"/>
  <c r="K30" i="12"/>
  <c r="S29" i="13"/>
  <c r="U29" i="13"/>
  <c r="T29" i="13"/>
  <c r="M30" i="12"/>
  <c r="N30" i="13"/>
  <c r="AF131" i="29"/>
  <c r="F30" i="12"/>
  <c r="F34" i="12"/>
  <c r="G34" i="13"/>
  <c r="Y135" i="29"/>
  <c r="G30" i="12"/>
  <c r="H29" i="13"/>
  <c r="Z130" i="29"/>
  <c r="O30" i="12"/>
  <c r="P29" i="13"/>
  <c r="AH130" i="29"/>
  <c r="M30" i="13"/>
  <c r="AE131" i="29"/>
  <c r="L34" i="12"/>
  <c r="M34" i="13"/>
  <c r="AE135" i="29"/>
  <c r="J30" i="13"/>
  <c r="AB131" i="29"/>
  <c r="I34" i="12"/>
  <c r="J34" i="13"/>
  <c r="AB135" i="29"/>
  <c r="O30" i="13"/>
  <c r="AG131" i="29"/>
  <c r="N34" i="12"/>
  <c r="O34" i="13"/>
  <c r="AG135" i="29"/>
  <c r="F30" i="13"/>
  <c r="X131" i="29"/>
  <c r="E34" i="12"/>
  <c r="F34" i="13"/>
  <c r="X135" i="29"/>
  <c r="J34" i="12"/>
  <c r="K34" i="13"/>
  <c r="AC135" i="29"/>
  <c r="K30" i="13"/>
  <c r="AC131" i="29"/>
  <c r="H34" i="12"/>
  <c r="I34" i="13"/>
  <c r="AA135" i="29"/>
  <c r="I30" i="13"/>
  <c r="AA131" i="29"/>
  <c r="E30" i="13"/>
  <c r="W131" i="29"/>
  <c r="D34" i="12"/>
  <c r="E34" i="13"/>
  <c r="W135" i="29"/>
  <c r="K34" i="12"/>
  <c r="L34" i="13"/>
  <c r="AD135" i="29"/>
  <c r="L30" i="13"/>
  <c r="AD131" i="29"/>
  <c r="U17" i="11"/>
  <c r="T70" i="11"/>
  <c r="U35" i="11"/>
  <c r="T76" i="11"/>
  <c r="T44" i="11"/>
  <c r="U32" i="11"/>
  <c r="M34" i="12"/>
  <c r="N34" i="13"/>
  <c r="AF135" i="29"/>
  <c r="G30" i="13"/>
  <c r="Y131" i="29"/>
  <c r="G34" i="12"/>
  <c r="H34" i="13"/>
  <c r="Z135" i="29"/>
  <c r="H30" i="13"/>
  <c r="Z131" i="29"/>
  <c r="P30" i="13"/>
  <c r="AH131" i="29"/>
  <c r="O34" i="12"/>
  <c r="P34" i="13"/>
  <c r="AH135" i="29"/>
  <c r="V41" i="10"/>
  <c r="E40" i="10"/>
  <c r="E37" i="11"/>
  <c r="L85" i="29"/>
  <c r="T9" i="10"/>
  <c r="E77" i="10"/>
  <c r="E83" i="10"/>
  <c r="E39" i="10"/>
  <c r="E9" i="11"/>
  <c r="L65" i="29"/>
  <c r="U7" i="10"/>
  <c r="U8" i="10"/>
  <c r="AH85" i="29"/>
  <c r="N37" i="11"/>
  <c r="J39" i="10"/>
  <c r="M39" i="11"/>
  <c r="J39" i="11"/>
  <c r="J75" i="10"/>
  <c r="J83" i="10"/>
  <c r="L39" i="10"/>
  <c r="G77" i="10"/>
  <c r="N75" i="10"/>
  <c r="N75" i="11"/>
  <c r="N77" i="11"/>
  <c r="O40" i="10"/>
  <c r="O40" i="11"/>
  <c r="P39" i="10"/>
  <c r="P40" i="10"/>
  <c r="P40" i="11"/>
  <c r="K75" i="10"/>
  <c r="K75" i="11"/>
  <c r="O9" i="11"/>
  <c r="K40" i="10"/>
  <c r="K40" i="11"/>
  <c r="AC85" i="29"/>
  <c r="L75" i="10"/>
  <c r="L83" i="10"/>
  <c r="AB65" i="29"/>
  <c r="T7" i="10"/>
  <c r="F75" i="10"/>
  <c r="F77" i="10"/>
  <c r="F39" i="10"/>
  <c r="F9" i="11"/>
  <c r="E42" i="10"/>
  <c r="E40" i="11"/>
  <c r="V40" i="10"/>
  <c r="E39" i="11"/>
  <c r="V37" i="11"/>
  <c r="V41" i="11"/>
  <c r="E75" i="11"/>
  <c r="E77" i="11"/>
  <c r="K83" i="10"/>
  <c r="N83" i="10"/>
  <c r="F75" i="11"/>
  <c r="W106" i="29"/>
  <c r="P42" i="10"/>
  <c r="O42" i="10"/>
  <c r="AE85" i="29"/>
  <c r="N39" i="11"/>
  <c r="L75" i="11"/>
  <c r="AC106" i="29"/>
  <c r="L106" i="29"/>
  <c r="E42" i="11"/>
  <c r="V40" i="11"/>
  <c r="L87" i="29"/>
  <c r="F77" i="11"/>
  <c r="E17" i="8"/>
  <c r="D18" i="8"/>
  <c r="D17" i="9"/>
  <c r="D37" i="8"/>
  <c r="D22" i="9"/>
  <c r="D23" i="8"/>
  <c r="K20" i="8"/>
  <c r="J20" i="8"/>
  <c r="J20" i="9"/>
  <c r="F17" i="8"/>
  <c r="E10" i="14"/>
  <c r="E10" i="15"/>
  <c r="N143" i="29"/>
  <c r="J14" i="14"/>
  <c r="C8" i="14"/>
  <c r="L147" i="29"/>
  <c r="K8" i="8"/>
  <c r="K8" i="9"/>
  <c r="U38" i="29"/>
  <c r="K20" i="9"/>
  <c r="U48" i="29"/>
  <c r="K17" i="8"/>
  <c r="K17" i="9"/>
  <c r="U46" i="29"/>
  <c r="D37" i="9"/>
  <c r="M63" i="29"/>
  <c r="D38" i="8"/>
  <c r="E37" i="8"/>
  <c r="D42" i="8"/>
  <c r="F17" i="9"/>
  <c r="F18" i="8"/>
  <c r="M50" i="29"/>
  <c r="D23" i="9"/>
  <c r="M46" i="29"/>
  <c r="D18" i="9"/>
  <c r="J17" i="8"/>
  <c r="J17" i="9"/>
  <c r="E18" i="8"/>
  <c r="E17" i="9"/>
  <c r="M8" i="14"/>
  <c r="C9" i="14"/>
  <c r="C8" i="15"/>
  <c r="C28" i="8"/>
  <c r="E8" i="14"/>
  <c r="J14" i="15"/>
  <c r="U147" i="29"/>
  <c r="J10" i="14"/>
  <c r="J10" i="15"/>
  <c r="U143" i="29"/>
  <c r="Q46" i="29"/>
  <c r="F18" i="9"/>
  <c r="E37" i="9"/>
  <c r="N63" i="29"/>
  <c r="E38" i="8"/>
  <c r="D39" i="8"/>
  <c r="D38" i="9"/>
  <c r="N46" i="29"/>
  <c r="E18" i="9"/>
  <c r="F8" i="14"/>
  <c r="E9" i="14"/>
  <c r="E28" i="8"/>
  <c r="E8" i="15"/>
  <c r="C28" i="9"/>
  <c r="N28" i="8"/>
  <c r="C22" i="8"/>
  <c r="N8" i="15"/>
  <c r="C9" i="15"/>
  <c r="L142" i="29"/>
  <c r="M64" i="29"/>
  <c r="D39" i="9"/>
  <c r="E39" i="8"/>
  <c r="E38" i="9"/>
  <c r="E22" i="8"/>
  <c r="C34" i="8"/>
  <c r="C23" i="8"/>
  <c r="C22" i="9"/>
  <c r="L55" i="29"/>
  <c r="O28" i="9"/>
  <c r="N142" i="29"/>
  <c r="E9" i="15"/>
  <c r="F28" i="8"/>
  <c r="E28" i="9"/>
  <c r="N55" i="29"/>
  <c r="F9" i="14"/>
  <c r="F8" i="15"/>
  <c r="E39" i="9"/>
  <c r="N64" i="29"/>
  <c r="L50" i="29"/>
  <c r="C23" i="9"/>
  <c r="C34" i="9"/>
  <c r="C35" i="8"/>
  <c r="E34" i="8"/>
  <c r="K28" i="8"/>
  <c r="J28" i="8"/>
  <c r="J28" i="9"/>
  <c r="F22" i="8"/>
  <c r="F28" i="9"/>
  <c r="Q55" i="29"/>
  <c r="F9" i="15"/>
  <c r="Q142" i="29"/>
  <c r="E23" i="8"/>
  <c r="E22" i="9"/>
  <c r="E35" i="8"/>
  <c r="J34" i="8"/>
  <c r="J34" i="9"/>
  <c r="E34" i="9"/>
  <c r="N61" i="29"/>
  <c r="F23" i="8"/>
  <c r="F22" i="9"/>
  <c r="F37" i="8"/>
  <c r="J22" i="8"/>
  <c r="J22" i="9"/>
  <c r="F42" i="8"/>
  <c r="L61" i="29"/>
  <c r="C42" i="8"/>
  <c r="C35" i="9"/>
  <c r="E23" i="9"/>
  <c r="N50" i="29"/>
  <c r="K28" i="9"/>
  <c r="U55" i="29"/>
  <c r="Q50" i="29"/>
  <c r="F23" i="9"/>
  <c r="F38" i="8"/>
  <c r="F37" i="9"/>
  <c r="Q63" i="29"/>
  <c r="L62" i="29"/>
  <c r="J35" i="8"/>
  <c r="J35" i="9"/>
  <c r="E42" i="8"/>
  <c r="E35" i="9"/>
  <c r="N62" i="29"/>
  <c r="F39" i="8"/>
  <c r="F38" i="9"/>
  <c r="F39" i="9"/>
  <c r="Q64" i="29"/>
  <c r="D11" i="13"/>
  <c r="C11" i="13"/>
  <c r="L112" i="29"/>
  <c r="D19" i="13"/>
  <c r="C21" i="12"/>
  <c r="R21" i="12"/>
  <c r="R38" i="12"/>
  <c r="R39" i="12"/>
  <c r="S19" i="12"/>
  <c r="C19" i="13"/>
  <c r="Q21" i="13"/>
  <c r="P15" i="12"/>
  <c r="P22" i="12"/>
  <c r="Q22" i="13"/>
  <c r="S13" i="21"/>
  <c r="T13" i="20"/>
  <c r="J255" i="29"/>
  <c r="D23" i="21"/>
  <c r="D32" i="32"/>
  <c r="R11" i="12"/>
  <c r="Q11" i="13"/>
  <c r="S11" i="12"/>
  <c r="E23" i="20"/>
  <c r="E22" i="21"/>
  <c r="S12" i="20"/>
  <c r="S11" i="33"/>
  <c r="J252" i="29"/>
  <c r="D17" i="21"/>
  <c r="S12" i="13"/>
  <c r="V12" i="13"/>
  <c r="U12" i="13"/>
  <c r="C14" i="20"/>
  <c r="C10" i="21"/>
  <c r="D19" i="20"/>
  <c r="D18" i="21"/>
  <c r="E14" i="21"/>
  <c r="L250" i="29"/>
  <c r="C22" i="21"/>
  <c r="D16" i="13"/>
  <c r="G46" i="32"/>
  <c r="G32" i="32"/>
  <c r="B42" i="12"/>
  <c r="S13" i="12"/>
  <c r="Q42" i="13"/>
  <c r="F21" i="32"/>
  <c r="F30" i="32"/>
  <c r="C25" i="19"/>
  <c r="C25" i="18"/>
  <c r="C26" i="18"/>
  <c r="S14" i="13"/>
  <c r="I253" i="29"/>
  <c r="C19" i="21"/>
  <c r="D23" i="20"/>
  <c r="R9" i="12"/>
  <c r="E46" i="32"/>
  <c r="T10" i="20"/>
  <c r="S20" i="20"/>
  <c r="O113" i="29"/>
  <c r="V19" i="13"/>
  <c r="U19" i="13"/>
  <c r="O120" i="29"/>
  <c r="B36" i="12"/>
  <c r="B15" i="13"/>
  <c r="K116" i="29"/>
  <c r="S13" i="13"/>
  <c r="L117" i="29"/>
  <c r="V14" i="13"/>
  <c r="U14" i="13"/>
  <c r="L252" i="29"/>
  <c r="E17" i="21"/>
  <c r="R17" i="12"/>
  <c r="S17" i="12"/>
  <c r="T11" i="20"/>
  <c r="E11" i="21"/>
  <c r="E32" i="32"/>
  <c r="U13" i="13"/>
  <c r="T16" i="13"/>
  <c r="F46" i="32"/>
  <c r="F32" i="32"/>
  <c r="H46" i="32"/>
  <c r="S46" i="33"/>
  <c r="S14" i="33"/>
  <c r="E18" i="21"/>
  <c r="T18" i="21"/>
  <c r="Q20" i="13"/>
  <c r="R20" i="12"/>
  <c r="O114" i="29"/>
  <c r="V18" i="13"/>
  <c r="R19" i="12"/>
  <c r="H49" i="32"/>
  <c r="S58" i="33"/>
  <c r="C9" i="13"/>
  <c r="T10" i="21"/>
  <c r="V9" i="13"/>
  <c r="S9" i="13"/>
  <c r="H32" i="32"/>
  <c r="S32" i="33"/>
  <c r="S40" i="33"/>
  <c r="D46" i="17"/>
  <c r="L197" i="29"/>
  <c r="E46" i="17"/>
  <c r="E47" i="17"/>
  <c r="H30" i="32"/>
  <c r="S30" i="33"/>
  <c r="S21" i="33"/>
  <c r="B17" i="12"/>
  <c r="S9" i="12"/>
  <c r="Q10" i="13"/>
  <c r="R10" i="12"/>
  <c r="R39" i="18"/>
  <c r="R39" i="19"/>
  <c r="AH243" i="29"/>
  <c r="C20" i="20"/>
  <c r="C21" i="20"/>
  <c r="C8" i="12"/>
  <c r="T18" i="20"/>
  <c r="D10" i="20"/>
  <c r="E19" i="32"/>
  <c r="S18" i="13"/>
  <c r="S19" i="21"/>
  <c r="Q8" i="13"/>
  <c r="Q24" i="19"/>
  <c r="S44" i="33"/>
  <c r="L253" i="29"/>
  <c r="E19" i="21"/>
  <c r="T19" i="21"/>
  <c r="E20" i="21"/>
  <c r="T12" i="20"/>
  <c r="S12" i="21"/>
  <c r="S21" i="12"/>
  <c r="S49" i="33"/>
  <c r="S22" i="20"/>
  <c r="V16" i="13"/>
  <c r="U16" i="13"/>
  <c r="I255" i="29"/>
  <c r="C23" i="21"/>
  <c r="B36" i="13"/>
  <c r="B37" i="12"/>
  <c r="J253" i="29"/>
  <c r="D19" i="21"/>
  <c r="L255" i="29"/>
  <c r="E23" i="21"/>
  <c r="O122" i="29"/>
  <c r="C21" i="13"/>
  <c r="T21" i="13"/>
  <c r="O249" i="29"/>
  <c r="T13" i="21"/>
  <c r="O123" i="29"/>
  <c r="C42" i="12"/>
  <c r="C15" i="12"/>
  <c r="R8" i="12"/>
  <c r="R42" i="12"/>
  <c r="R43" i="12"/>
  <c r="C8" i="13"/>
  <c r="L109" i="29"/>
  <c r="D8" i="13"/>
  <c r="S8" i="12"/>
  <c r="L247" i="29"/>
  <c r="T11" i="21"/>
  <c r="P38" i="12"/>
  <c r="T20" i="13"/>
  <c r="O121" i="29"/>
  <c r="V20" i="13"/>
  <c r="S20" i="13"/>
  <c r="U20" i="13"/>
  <c r="C26" i="19"/>
  <c r="K216" i="29"/>
  <c r="C20" i="21"/>
  <c r="I246" i="29"/>
  <c r="C14" i="21"/>
  <c r="I250" i="29"/>
  <c r="U11" i="13"/>
  <c r="S11" i="13"/>
  <c r="O112" i="29"/>
  <c r="V11" i="13"/>
  <c r="T11" i="13"/>
  <c r="L120" i="29"/>
  <c r="T19" i="13"/>
  <c r="S19" i="13"/>
  <c r="O215" i="29"/>
  <c r="T14" i="21"/>
  <c r="Q43" i="13"/>
  <c r="O139" i="29"/>
  <c r="S8" i="13"/>
  <c r="S42" i="13"/>
  <c r="S43" i="13"/>
  <c r="U8" i="13"/>
  <c r="U42" i="13"/>
  <c r="U43" i="13"/>
  <c r="T8" i="13"/>
  <c r="O109" i="29"/>
  <c r="V8" i="13"/>
  <c r="U10" i="13"/>
  <c r="T10" i="13"/>
  <c r="S10" i="13"/>
  <c r="V10" i="13"/>
  <c r="O111" i="29"/>
  <c r="S21" i="20"/>
  <c r="T21" i="20"/>
  <c r="T20" i="20"/>
  <c r="L122" i="29"/>
  <c r="C22" i="12"/>
  <c r="C38" i="12"/>
  <c r="D21" i="13"/>
  <c r="U21" i="13"/>
  <c r="D10" i="21"/>
  <c r="D14" i="20"/>
  <c r="D20" i="20"/>
  <c r="D21" i="20"/>
  <c r="S17" i="20"/>
  <c r="T17" i="20"/>
  <c r="T16" i="20"/>
  <c r="L110" i="29"/>
  <c r="T9" i="13"/>
  <c r="B43" i="12"/>
  <c r="B42" i="13"/>
  <c r="R15" i="12"/>
  <c r="R36" i="12"/>
  <c r="Q15" i="13"/>
  <c r="P36" i="12"/>
  <c r="S15" i="12"/>
  <c r="B21" i="12"/>
  <c r="B17" i="13"/>
  <c r="K118" i="29"/>
  <c r="B21" i="13"/>
  <c r="K122" i="29"/>
  <c r="B22" i="12"/>
  <c r="B22" i="13"/>
  <c r="K123" i="29"/>
  <c r="S21" i="13"/>
  <c r="S38" i="13"/>
  <c r="S39" i="13"/>
  <c r="C21" i="21"/>
  <c r="I254" i="29"/>
  <c r="V21" i="13"/>
  <c r="Q36" i="13"/>
  <c r="P37" i="12"/>
  <c r="P40" i="12"/>
  <c r="D15" i="13"/>
  <c r="U15" i="13"/>
  <c r="U36" i="13"/>
  <c r="O116" i="29"/>
  <c r="J246" i="29"/>
  <c r="D14" i="21"/>
  <c r="J250" i="29"/>
  <c r="D20" i="21"/>
  <c r="T22" i="20"/>
  <c r="S22" i="21"/>
  <c r="S23" i="20"/>
  <c r="T23" i="20"/>
  <c r="R40" i="12"/>
  <c r="R41" i="12"/>
  <c r="R37" i="12"/>
  <c r="C36" i="12"/>
  <c r="S36" i="12"/>
  <c r="V15" i="13"/>
  <c r="C15" i="13"/>
  <c r="L116" i="29"/>
  <c r="K139" i="29"/>
  <c r="B43" i="13"/>
  <c r="C38" i="13"/>
  <c r="D38" i="13"/>
  <c r="D39" i="13"/>
  <c r="C39" i="12"/>
  <c r="D42" i="13"/>
  <c r="C43" i="12"/>
  <c r="C42" i="13"/>
  <c r="S42" i="12"/>
  <c r="C22" i="13"/>
  <c r="L123" i="29"/>
  <c r="D22" i="13"/>
  <c r="O248" i="29"/>
  <c r="T12" i="21"/>
  <c r="E21" i="21"/>
  <c r="L254" i="29"/>
  <c r="T16" i="21"/>
  <c r="O252" i="29"/>
  <c r="S17" i="21"/>
  <c r="T17" i="21"/>
  <c r="S38" i="12"/>
  <c r="Q38" i="13"/>
  <c r="P39" i="12"/>
  <c r="B37" i="13"/>
  <c r="K136" i="29"/>
  <c r="T15" i="13"/>
  <c r="D43" i="13"/>
  <c r="V42" i="13"/>
  <c r="O255" i="29"/>
  <c r="S23" i="21"/>
  <c r="T23" i="21"/>
  <c r="T22" i="21"/>
  <c r="Q37" i="13"/>
  <c r="O136" i="29"/>
  <c r="S15" i="13"/>
  <c r="S36" i="13"/>
  <c r="C40" i="12"/>
  <c r="C36" i="13"/>
  <c r="D36" i="13"/>
  <c r="D37" i="13"/>
  <c r="C37" i="12"/>
  <c r="V38" i="13"/>
  <c r="T38" i="13"/>
  <c r="O137" i="29"/>
  <c r="Q39" i="13"/>
  <c r="J254" i="29"/>
  <c r="D21" i="21"/>
  <c r="U37" i="13"/>
  <c r="U22" i="13"/>
  <c r="U38" i="13"/>
  <c r="U39" i="13"/>
  <c r="V22" i="13"/>
  <c r="B38" i="12"/>
  <c r="Q40" i="13"/>
  <c r="S40" i="12"/>
  <c r="P46" i="12"/>
  <c r="P41" i="12"/>
  <c r="L137" i="29"/>
  <c r="C39" i="13"/>
  <c r="C43" i="13"/>
  <c r="L139" i="29"/>
  <c r="T42" i="13"/>
  <c r="S21" i="21"/>
  <c r="T21" i="21"/>
  <c r="O254" i="29"/>
  <c r="T20" i="21"/>
  <c r="L136" i="29"/>
  <c r="C37" i="13"/>
  <c r="S40" i="13"/>
  <c r="S41" i="13"/>
  <c r="S37" i="13"/>
  <c r="B39" i="12"/>
  <c r="B38" i="13"/>
  <c r="B40" i="12"/>
  <c r="C46" i="12"/>
  <c r="C41" i="12"/>
  <c r="C40" i="13"/>
  <c r="D40" i="13"/>
  <c r="U40" i="13"/>
  <c r="U41" i="13"/>
  <c r="V36" i="13"/>
  <c r="O138" i="29"/>
  <c r="Q41" i="13"/>
  <c r="Q46" i="13"/>
  <c r="T36" i="13"/>
  <c r="L138" i="29"/>
  <c r="C41" i="13"/>
  <c r="C46" i="13"/>
  <c r="B40" i="13"/>
  <c r="B46" i="12"/>
  <c r="B41" i="12"/>
  <c r="K137" i="29"/>
  <c r="B39" i="13"/>
  <c r="D46" i="13"/>
  <c r="D41" i="13"/>
  <c r="T40" i="13"/>
  <c r="V40" i="13"/>
  <c r="K138" i="29"/>
  <c r="B46" i="13"/>
  <c r="B41" i="13"/>
  <c r="D25" i="28"/>
  <c r="D26" i="28" s="1"/>
  <c r="AK295" i="29" s="1"/>
  <c r="T8" i="19"/>
  <c r="Q26" i="18"/>
  <c r="Q11" i="19"/>
  <c r="O204" i="29"/>
  <c r="Q19" i="19"/>
  <c r="O212" i="29"/>
  <c r="Q26" i="19"/>
  <c r="T19" i="18"/>
  <c r="Z87" i="29"/>
  <c r="I42" i="11"/>
  <c r="M42" i="10"/>
  <c r="M40" i="11"/>
  <c r="J42" i="10"/>
  <c r="J40" i="11"/>
  <c r="AA87" i="29"/>
  <c r="L77" i="10"/>
  <c r="N77" i="10"/>
  <c r="AG67" i="29"/>
  <c r="I42" i="10"/>
  <c r="J75" i="11"/>
  <c r="K77" i="10"/>
  <c r="R37" i="10"/>
  <c r="G39" i="11"/>
  <c r="H75" i="10"/>
  <c r="J77" i="10"/>
  <c r="R10" i="11"/>
  <c r="G40" i="11"/>
  <c r="L77" i="11"/>
  <c r="AE67" i="29"/>
  <c r="H39" i="10"/>
  <c r="H40" i="10"/>
  <c r="U7" i="11"/>
  <c r="R9" i="11"/>
  <c r="T9" i="11"/>
  <c r="O65" i="29"/>
  <c r="T7" i="11"/>
  <c r="Y85" i="29"/>
  <c r="H39" i="11"/>
  <c r="Z85" i="29"/>
  <c r="I39" i="11"/>
  <c r="AB87" i="29"/>
  <c r="K42" i="11"/>
  <c r="K77" i="11"/>
  <c r="AB106" i="29"/>
  <c r="G77" i="11"/>
  <c r="X106" i="29"/>
  <c r="P42" i="11"/>
  <c r="AG87" i="29"/>
  <c r="M77" i="11"/>
  <c r="AD106" i="29"/>
  <c r="W85" i="29"/>
  <c r="F39" i="11"/>
  <c r="O39" i="11"/>
  <c r="AF85" i="29"/>
  <c r="AF87" i="29"/>
  <c r="O42" i="11"/>
  <c r="AG85" i="29"/>
  <c r="P39" i="11"/>
  <c r="L42" i="10"/>
  <c r="L40" i="11"/>
  <c r="AE106" i="29"/>
  <c r="O75" i="11"/>
  <c r="F83" i="10"/>
  <c r="P75" i="10"/>
  <c r="I75" i="10"/>
  <c r="N40" i="10"/>
  <c r="Q40" i="10"/>
  <c r="F40" i="10"/>
  <c r="J42" i="11"/>
  <c r="W65" i="29"/>
  <c r="K42" i="10"/>
  <c r="Q75" i="11"/>
  <c r="K37" i="11"/>
  <c r="R37" i="11"/>
  <c r="Q77" i="10"/>
  <c r="I9" i="11"/>
  <c r="M77" i="10"/>
  <c r="M83" i="10"/>
  <c r="U41" i="10"/>
  <c r="U42" i="10"/>
  <c r="M34" i="8"/>
  <c r="K34" i="8"/>
  <c r="K34" i="9"/>
  <c r="U61" i="29"/>
  <c r="M9" i="8"/>
  <c r="N8" i="9"/>
  <c r="N9" i="9"/>
  <c r="G42" i="8"/>
  <c r="K9" i="9"/>
  <c r="O57" i="29"/>
  <c r="L30" i="9"/>
  <c r="V57" i="29"/>
  <c r="M35" i="9"/>
  <c r="P62" i="29"/>
  <c r="N22" i="8"/>
  <c r="M23" i="8"/>
  <c r="N22" i="9"/>
  <c r="L22" i="9"/>
  <c r="V50" i="29"/>
  <c r="O26" i="9"/>
  <c r="M35" i="8"/>
  <c r="N35" i="8"/>
  <c r="N34" i="9"/>
  <c r="O34" i="9"/>
  <c r="N34" i="8"/>
  <c r="K22" i="8"/>
  <c r="K22" i="9"/>
  <c r="U50" i="29"/>
  <c r="O53" i="29"/>
  <c r="R28" i="19"/>
  <c r="T28" i="18"/>
  <c r="H37" i="8"/>
  <c r="O46" i="29"/>
  <c r="L17" i="9"/>
  <c r="V46" i="29"/>
  <c r="J77" i="11"/>
  <c r="AA106" i="29"/>
  <c r="H42" i="10"/>
  <c r="H40" i="11"/>
  <c r="G42" i="11"/>
  <c r="X87" i="29"/>
  <c r="O67" i="29"/>
  <c r="U10" i="11"/>
  <c r="U11" i="11"/>
  <c r="R12" i="11"/>
  <c r="T12" i="11"/>
  <c r="T10" i="11"/>
  <c r="T37" i="11"/>
  <c r="T75" i="11"/>
  <c r="AD87" i="29"/>
  <c r="M42" i="11"/>
  <c r="H83" i="10"/>
  <c r="H77" i="10"/>
  <c r="H75" i="11"/>
  <c r="R40" i="10"/>
  <c r="R39" i="10"/>
  <c r="T39" i="10"/>
  <c r="T37" i="10"/>
  <c r="T75" i="10"/>
  <c r="T83" i="10"/>
  <c r="U37" i="10"/>
  <c r="U38" i="10"/>
  <c r="R75" i="10"/>
  <c r="U37" i="11"/>
  <c r="U38" i="11"/>
  <c r="R39" i="11"/>
  <c r="T39" i="11"/>
  <c r="O85" i="29"/>
  <c r="P75" i="11"/>
  <c r="P83" i="10"/>
  <c r="P77" i="10"/>
  <c r="I83" i="10"/>
  <c r="I77" i="10"/>
  <c r="I75" i="11"/>
  <c r="K39" i="11"/>
  <c r="AB85" i="29"/>
  <c r="Q77" i="11"/>
  <c r="AH106" i="29"/>
  <c r="O77" i="11"/>
  <c r="AF106" i="29"/>
  <c r="AC87" i="29"/>
  <c r="L42" i="11"/>
  <c r="F42" i="10"/>
  <c r="F40" i="11"/>
  <c r="Q42" i="10"/>
  <c r="Q40" i="11"/>
  <c r="N42" i="10"/>
  <c r="N40" i="11"/>
  <c r="U8" i="11"/>
  <c r="U41" i="11"/>
  <c r="U42" i="11"/>
  <c r="L8" i="9"/>
  <c r="O8" i="9"/>
  <c r="O38" i="29"/>
  <c r="V38" i="29"/>
  <c r="L9" i="9"/>
  <c r="O50" i="29"/>
  <c r="O22" i="9"/>
  <c r="N23" i="9"/>
  <c r="K35" i="8"/>
  <c r="K35" i="9"/>
  <c r="U62" i="29"/>
  <c r="M42" i="8"/>
  <c r="N35" i="9"/>
  <c r="L35" i="9"/>
  <c r="V62" i="29"/>
  <c r="O61" i="29"/>
  <c r="L34" i="9"/>
  <c r="V61" i="29"/>
  <c r="T28" i="19"/>
  <c r="S28" i="19"/>
  <c r="H38" i="8"/>
  <c r="H38" i="9"/>
  <c r="S64" i="29"/>
  <c r="H42" i="8"/>
  <c r="H37" i="9"/>
  <c r="S63" i="29"/>
  <c r="K37" i="8"/>
  <c r="R77" i="10"/>
  <c r="R75" i="11"/>
  <c r="R83" i="10"/>
  <c r="T40" i="10"/>
  <c r="R40" i="11"/>
  <c r="R42" i="10"/>
  <c r="T42" i="10"/>
  <c r="U40" i="10"/>
  <c r="Y87" i="29"/>
  <c r="H42" i="11"/>
  <c r="H77" i="11"/>
  <c r="Y106" i="29"/>
  <c r="T77" i="10"/>
  <c r="W87" i="29"/>
  <c r="F42" i="11"/>
  <c r="Z106" i="29"/>
  <c r="I77" i="11"/>
  <c r="Q42" i="11"/>
  <c r="AH87" i="29"/>
  <c r="AG106" i="29"/>
  <c r="P77" i="11"/>
  <c r="AE87" i="29"/>
  <c r="N42" i="11"/>
  <c r="O35" i="9"/>
  <c r="O62" i="29"/>
  <c r="K42" i="8"/>
  <c r="K37" i="9"/>
  <c r="U63" i="29"/>
  <c r="K38" i="8"/>
  <c r="K38" i="9"/>
  <c r="U64" i="29"/>
  <c r="U40" i="11"/>
  <c r="T40" i="11"/>
  <c r="R42" i="11"/>
  <c r="T42" i="11"/>
  <c r="O87" i="29"/>
  <c r="R77" i="11"/>
  <c r="T77" i="11"/>
  <c r="O106" i="29"/>
  <c r="S11" i="19"/>
  <c r="T11" i="19"/>
  <c r="R19" i="19"/>
  <c r="R26" i="19"/>
  <c r="O222" i="29"/>
  <c r="O230" i="29"/>
  <c r="T19" i="19"/>
  <c r="S19" i="19"/>
  <c r="AI294" i="29" l="1"/>
  <c r="B26" i="28"/>
  <c r="AI295" i="29" s="1"/>
  <c r="C25" i="28"/>
  <c r="AK294" i="29"/>
  <c r="AJ294" i="29" l="1"/>
  <c r="C26" i="28"/>
  <c r="AJ295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tc={A59EC0DE-9591-4DF9-BECB-D598CF67B31D}</author>
    <author>tc={39DF37BE-7B28-47C1-866A-224F45219170}</author>
  </authors>
  <commentList>
    <comment ref="B7" authorId="0" shapeId="0" xr:uid="{A59EC0DE-9591-4DF9-BECB-D598CF67B31D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  <comment ref="B8" authorId="1" shapeId="0" xr:uid="{39DF37BE-7B28-47C1-866A-224F4521917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<sst xmlns="http://schemas.openxmlformats.org/spreadsheetml/2006/main" count="5560" uniqueCount="1513">
  <si>
    <t>Version History</t>
  </si>
  <si>
    <t>V2</t>
  </si>
  <si>
    <t>Plant Selections</t>
  </si>
  <si>
    <t>DIV, BU &amp; Outlet Codes</t>
  </si>
  <si>
    <t>Currency Rates BS (Cur FX)</t>
  </si>
  <si>
    <t>Currency Rates P&amp;L (Avg FX)</t>
  </si>
  <si>
    <t>Wage increase</t>
  </si>
  <si>
    <t>Plant Nr</t>
  </si>
  <si>
    <t>Plant Name</t>
  </si>
  <si>
    <t>Currency</t>
  </si>
  <si>
    <t>Outlet</t>
  </si>
  <si>
    <t>Outlet Name (Number)</t>
  </si>
  <si>
    <t>Division</t>
  </si>
  <si>
    <t>Division Name (Number)</t>
  </si>
  <si>
    <t>Current FX 
(BS)</t>
  </si>
  <si>
    <t>Budget</t>
  </si>
  <si>
    <t xml:space="preserve">Actual </t>
  </si>
  <si>
    <t xml:space="preserve">Budget </t>
  </si>
  <si>
    <t>FC 6+6</t>
  </si>
  <si>
    <t>FC 7+5</t>
  </si>
  <si>
    <t>Avgerage FX (P&amp;L)</t>
  </si>
  <si>
    <t>var</t>
  </si>
  <si>
    <t>fix</t>
  </si>
  <si>
    <t>Nürnberg (64)</t>
  </si>
  <si>
    <t>EUR</t>
  </si>
  <si>
    <t>7311 &amp; 7312</t>
  </si>
  <si>
    <t>7311 &amp; 7312 PL Engine Actuators (&amp; Electrification)</t>
  </si>
  <si>
    <t>721 Powertrain Solutions</t>
  </si>
  <si>
    <t>730</t>
  </si>
  <si>
    <t>730 BU Actuation</t>
  </si>
  <si>
    <t>Cuautla (70)</t>
  </si>
  <si>
    <t>MXN</t>
  </si>
  <si>
    <t>7321 &amp; 7322</t>
  </si>
  <si>
    <t>7321 &amp; 7322 PL Drivetrain Actuators (&amp; Electrification)</t>
  </si>
  <si>
    <t>BRL</t>
  </si>
  <si>
    <t>Seguin / USA (145)</t>
  </si>
  <si>
    <t>USD</t>
  </si>
  <si>
    <t>7331</t>
  </si>
  <si>
    <t>7331 PL Fluid Management Modules</t>
  </si>
  <si>
    <t>CAD</t>
  </si>
  <si>
    <t>Tianjin / PRC (156)</t>
  </si>
  <si>
    <t>CNY</t>
  </si>
  <si>
    <t>7341</t>
  </si>
  <si>
    <t>7341 PL Catalysts &amp; Filters</t>
  </si>
  <si>
    <t>CHF</t>
  </si>
  <si>
    <t>Bebra/Muehlhausen1 (208)</t>
  </si>
  <si>
    <t>7411</t>
  </si>
  <si>
    <t>7411 PL Hydraulics</t>
  </si>
  <si>
    <t>740 BU Hydraulics &amp; Turbo</t>
  </si>
  <si>
    <t>BOU Boussens (214)</t>
  </si>
  <si>
    <t>7421</t>
  </si>
  <si>
    <t>7421 PL Turbocharger</t>
  </si>
  <si>
    <t>CZK</t>
  </si>
  <si>
    <t>Changchun I (218)</t>
  </si>
  <si>
    <t>7431</t>
  </si>
  <si>
    <t>7431 PL CM Connected Car Networking</t>
  </si>
  <si>
    <t>DKK</t>
  </si>
  <si>
    <t>Juarez (220)</t>
  </si>
  <si>
    <t>7432</t>
  </si>
  <si>
    <t>7432 PL CM Commercial Vehicles &amp; Services</t>
  </si>
  <si>
    <t>GBP</t>
  </si>
  <si>
    <t>DTM Dortmund (225)</t>
  </si>
  <si>
    <t>7433</t>
  </si>
  <si>
    <t>7433 PL CM Electronic Brake Systems</t>
  </si>
  <si>
    <t>HUF</t>
  </si>
  <si>
    <t>ELP Santa Teresa (228)</t>
  </si>
  <si>
    <t>7434</t>
  </si>
  <si>
    <t>7434 PL CM Suspension</t>
  </si>
  <si>
    <t>INR</t>
  </si>
  <si>
    <t>FOX Foix (230)</t>
  </si>
  <si>
    <t>7435</t>
  </si>
  <si>
    <t>7435 PL CM ADAS</t>
  </si>
  <si>
    <t>JPY</t>
  </si>
  <si>
    <t>FST Frenstat (231)</t>
  </si>
  <si>
    <t>7436</t>
  </si>
  <si>
    <t>7436 PL CM PSS</t>
  </si>
  <si>
    <t>KRW</t>
  </si>
  <si>
    <t>ICH Icheon (242)</t>
  </si>
  <si>
    <t>7511</t>
  </si>
  <si>
    <t>7511 PL Emission &amp; Exhaust Sensors</t>
  </si>
  <si>
    <t>750 BU Sensorics &amp; Controls</t>
  </si>
  <si>
    <t>LBO Limbach (246)</t>
  </si>
  <si>
    <t>7521 &amp; 7522</t>
  </si>
  <si>
    <t>7521 &amp; 7522 PL Mechatronic Sensors (&amp; Electrification)</t>
  </si>
  <si>
    <t>RON</t>
  </si>
  <si>
    <t>ROG Roding (265)</t>
  </si>
  <si>
    <t>7531 &amp; 7532</t>
  </si>
  <si>
    <t>7531 &amp; 7532 PL Pressure &amp; Airflow Sensors (&amp; Electrification)</t>
  </si>
  <si>
    <t>RUB</t>
  </si>
  <si>
    <t>AmataCity (278)</t>
  </si>
  <si>
    <t>THB</t>
  </si>
  <si>
    <t>7541 &amp; 7542</t>
  </si>
  <si>
    <t>7541 &amp; 7542 PL Powertrain Controls (&amp; Electrification)</t>
  </si>
  <si>
    <t>SGD</t>
  </si>
  <si>
    <t>TRU Trutnov (282)</t>
  </si>
  <si>
    <t>7611</t>
  </si>
  <si>
    <t>7611 PL AMT Powertrain Solutions</t>
  </si>
  <si>
    <t>760 BU Aftermarket &amp; Non-Automotive</t>
  </si>
  <si>
    <t>WHU1 Wuhu Yinhu (290)</t>
  </si>
  <si>
    <t>7612</t>
  </si>
  <si>
    <t>7612 PL AMT Electrification Solutions</t>
  </si>
  <si>
    <t>Bebra/Muehlhausen2 (296)</t>
  </si>
  <si>
    <t>7613</t>
  </si>
  <si>
    <t>7613 PL AMT Independent Aftermarket</t>
  </si>
  <si>
    <t>Juarez 2 (517)</t>
  </si>
  <si>
    <t>7621 &amp; 7622</t>
  </si>
  <si>
    <t>7621 &amp; 7622  PL 2-Wheeler &amp; Powersports (&amp; Electrification)</t>
  </si>
  <si>
    <t>Pune (519)</t>
  </si>
  <si>
    <t>7711</t>
  </si>
  <si>
    <t>7711 PL Mild Hybrid Drives</t>
  </si>
  <si>
    <t>722 Electrification Solutions</t>
  </si>
  <si>
    <t>770 BU Electric Drive Systems</t>
  </si>
  <si>
    <t>Sta. Theresa 2 (526)</t>
  </si>
  <si>
    <t>7721</t>
  </si>
  <si>
    <t>7721 PL High Voltage Drives</t>
  </si>
  <si>
    <t>Brasov 2 (549)</t>
  </si>
  <si>
    <t>7731</t>
  </si>
  <si>
    <t>7731 PL Thermal Management</t>
  </si>
  <si>
    <t>PNE Pune (599)</t>
  </si>
  <si>
    <t>7811</t>
  </si>
  <si>
    <t>7811 PL Engine Controls</t>
  </si>
  <si>
    <t>780 BU Controls</t>
  </si>
  <si>
    <t>Debrecen (705)</t>
  </si>
  <si>
    <t>7821 &amp; 7822</t>
  </si>
  <si>
    <t>7821 PL Drivetrain Controls (&amp; Electrification)</t>
  </si>
  <si>
    <t>Pune 3 (729)</t>
  </si>
  <si>
    <t>7831</t>
  </si>
  <si>
    <t>7831 PL Vehicle &amp; Battery Controls</t>
  </si>
  <si>
    <t>Shanghai Vitesco (761)</t>
  </si>
  <si>
    <t>7841</t>
  </si>
  <si>
    <t>7841 PL Charging &amp; Energy Controls</t>
  </si>
  <si>
    <t>7851</t>
  </si>
  <si>
    <t>7851 PL eMotor Controls</t>
  </si>
  <si>
    <t>NPN Newport News (255)</t>
  </si>
  <si>
    <t>PSA Pisa (261)</t>
  </si>
  <si>
    <t>Salto (516)</t>
  </si>
  <si>
    <t>ESN Eisenach (593)</t>
  </si>
  <si>
    <t>LOH Lohmar (597)</t>
  </si>
  <si>
    <t>Budapest (71)</t>
  </si>
  <si>
    <t>Shanghai (72)</t>
  </si>
  <si>
    <t>Sibiu (114)</t>
  </si>
  <si>
    <t>Tucson / USA (143)</t>
  </si>
  <si>
    <t>BDY Brandys (210)</t>
  </si>
  <si>
    <t>BLR Bangalore (212)</t>
  </si>
  <si>
    <t>Sejong (219)</t>
  </si>
  <si>
    <t>Guadalaj. Tijera (233)</t>
  </si>
  <si>
    <t>KAL Kaluga (244)</t>
  </si>
  <si>
    <t>RBG Regensburg (262)</t>
  </si>
  <si>
    <t>TYO Tokyo (285)</t>
  </si>
  <si>
    <t>Toulouse Srv&amp;Trading (538)</t>
  </si>
  <si>
    <t>SLP HBS Plant (668)</t>
  </si>
  <si>
    <t>Delavan (706)</t>
  </si>
  <si>
    <t>none (9)</t>
  </si>
  <si>
    <t>Budget 2024</t>
  </si>
  <si>
    <t>Documentation</t>
  </si>
  <si>
    <t>1. Input / FX Rates</t>
  </si>
  <si>
    <t>Yellow fields are input fields</t>
  </si>
  <si>
    <t>manual Input
Plant &amp; Outlet
↓</t>
  </si>
  <si>
    <t>RACE codes</t>
  </si>
  <si>
    <t>Plant:</t>
  </si>
  <si>
    <t>Select RACE plant number</t>
  </si>
  <si>
    <t>Outlet:</t>
  </si>
  <si>
    <t>Select RACE outlet number</t>
  </si>
  <si>
    <t>Business Unit:</t>
  </si>
  <si>
    <t>BU -&gt; filled in automatically based on outlet selection</t>
  </si>
  <si>
    <t>Division:</t>
  </si>
  <si>
    <t>DIV -&gt; filled in automatically based on outlet selection</t>
  </si>
  <si>
    <t>Local Currency:</t>
  </si>
  <si>
    <t>Local currency -&gt; Filled in automatically based on plant selection</t>
  </si>
  <si>
    <t>All Euro sheets are calculated automatically.</t>
  </si>
  <si>
    <t>Currency:</t>
  </si>
  <si>
    <t>June</t>
  </si>
  <si>
    <t>Budget Booklets have to be filled on Plant-Outlet level</t>
  </si>
  <si>
    <t>Only 1 plant, 1 outlet per Booklet</t>
  </si>
  <si>
    <t>Current FX Rate</t>
  </si>
  <si>
    <t>Exception: new Electrification Outlets - to have useful bridges FC to BUD please fill for old &amp; new outlet numbers together</t>
  </si>
  <si>
    <t>(BS)</t>
  </si>
  <si>
    <t>Race Management Structure for Budget 2024</t>
  </si>
  <si>
    <t>Average FX Rate</t>
  </si>
  <si>
    <t>(P&amp;L)</t>
  </si>
  <si>
    <t>0. Instructions</t>
  </si>
  <si>
    <t xml:space="preserve">General: </t>
  </si>
  <si>
    <t>Each Worksheet contains a Documentation area, providing additional information and references for filling the Booklet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</si>
  <si>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</si>
  <si>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</si>
  <si>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</si>
  <si>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</si>
  <si>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</si>
  <si>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</si>
  <si>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1. Main Issues</t>
  </si>
  <si>
    <t xml:space="preserve">∆ </t>
  </si>
  <si>
    <t>Actual</t>
  </si>
  <si>
    <t>YTD June</t>
  </si>
  <si>
    <t>FC 2023</t>
  </si>
  <si>
    <t>All figures are taken automatically from the P&amp;L (RACE)</t>
  </si>
  <si>
    <t>Sales</t>
  </si>
  <si>
    <t xml:space="preserve">Sales = Total Sales unconsolidated </t>
  </si>
  <si>
    <t>Margin after Variations</t>
  </si>
  <si>
    <t>% of Sales</t>
  </si>
  <si>
    <t>PMME</t>
  </si>
  <si>
    <t>PE ICO</t>
  </si>
  <si>
    <t>Gross Margin Adjustments</t>
  </si>
  <si>
    <t>Gross Margin</t>
  </si>
  <si>
    <t>R,D&amp;E / Sales&amp;Distr. / FG&amp;A expenses</t>
  </si>
  <si>
    <t>Other Income &amp; Expenses /Subs.</t>
  </si>
  <si>
    <t>Restructuring</t>
  </si>
  <si>
    <t>Other Non-Oper. Income &amp; Expenses</t>
  </si>
  <si>
    <t>EBIT</t>
  </si>
  <si>
    <t>Comments</t>
  </si>
  <si>
    <t>Major projects, project ramp ups, investments, cost drivers</t>
  </si>
  <si>
    <t>Knock sensor volume decreases from 5.6mio to 4.7mio units(-16%)</t>
  </si>
  <si>
    <t>The following points should be mentioned in case of significant impact on Budget results:</t>
  </si>
  <si>
    <t>variable maintenance cost &amp; supplies increase due to old equipments &amp; spare parts replacement</t>
  </si>
  <si>
    <t>- Volumes / Mix impacts</t>
  </si>
  <si>
    <t>- APR / SPC</t>
  </si>
  <si>
    <t>- Wage increase / Inflation rate</t>
  </si>
  <si>
    <t>1.1 Structural changes</t>
  </si>
  <si>
    <t>HC effect</t>
  </si>
  <si>
    <t>Cost effect</t>
  </si>
  <si>
    <t>Please explain significant structural changes vs FC</t>
  </si>
  <si>
    <t>Variable</t>
  </si>
  <si>
    <t>Maintenance harmonization</t>
  </si>
  <si>
    <t>Maintenance cost moved  from LDC to MDC(185K EUR)</t>
  </si>
  <si>
    <t>Sign logic for Cost: Savings (+) Cost (-)</t>
  </si>
  <si>
    <t>Structural change 2</t>
  </si>
  <si>
    <t>Sign logic for HC: Reduction (-) Increase (+)</t>
  </si>
  <si>
    <t>Structural change 3</t>
  </si>
  <si>
    <t>Structural change 4</t>
  </si>
  <si>
    <t>Please do not mentioned one-time effects here</t>
  </si>
  <si>
    <t>Structural change 5</t>
  </si>
  <si>
    <t>Only organizational movement with +/- effects in different profitcenter or between fix and variable should be listed</t>
  </si>
  <si>
    <t>Structural change 6</t>
  </si>
  <si>
    <t>Structural change 7</t>
  </si>
  <si>
    <t>Structural change 8</t>
  </si>
  <si>
    <t>Examples:</t>
  </si>
  <si>
    <t>Structural change 9</t>
  </si>
  <si>
    <t>Structural change 10</t>
  </si>
  <si>
    <t>Fix</t>
  </si>
  <si>
    <t>Structural change 1</t>
  </si>
  <si>
    <t>Total structural changes</t>
  </si>
  <si>
    <t>2. Variable Cost</t>
  </si>
  <si>
    <t>Variances Budget 2024 vs. FC 7+5 2023</t>
  </si>
  <si>
    <t xml:space="preserve">YTD June </t>
  </si>
  <si>
    <t xml:space="preserve">therein special
impacts </t>
  </si>
  <si>
    <t xml:space="preserve">FC 7+5
w/o
special impacts </t>
  </si>
  <si>
    <t xml:space="preserve">Sales
Volumes </t>
  </si>
  <si>
    <t>Product
Mix</t>
  </si>
  <si>
    <t xml:space="preserve"> Price
Effects </t>
  </si>
  <si>
    <t>Cost
Improvem.</t>
  </si>
  <si>
    <t>CIP (gross) in %</t>
  </si>
  <si>
    <t xml:space="preserve">All Others </t>
  </si>
  <si>
    <t>Target</t>
  </si>
  <si>
    <t xml:space="preserve"> Delta to FC
in %</t>
  </si>
  <si>
    <t xml:space="preserve">Production Sales </t>
  </si>
  <si>
    <t>Material 3rd. Parties</t>
  </si>
  <si>
    <t>Info: Subcontracting is part of Material 3rd. Parties (Row 10)</t>
  </si>
  <si>
    <t>Material 3rd Parties &amp; ICO Material/Cost Purchaser in % of Sales</t>
  </si>
  <si>
    <t xml:space="preserve">   thereof Standard material 
   incl. subcontracting / cash discount (w/o ICO)</t>
  </si>
  <si>
    <t>Volume decrease, material price drop, and product mix impact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</si>
  <si>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</si>
  <si>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 xml:space="preserve">   thereof Variances in Material</t>
  </si>
  <si>
    <t>-</t>
  </si>
  <si>
    <t>Variations to raw material price FS 308000000</t>
  </si>
  <si>
    <t xml:space="preserve">   thereof Material Usage</t>
  </si>
  <si>
    <t>Material usage FS 309503600, CIP e.g. RE-DTC measures not included in new Standard BOM</t>
  </si>
  <si>
    <t xml:space="preserve">   thereof Standard Supplier tooling</t>
  </si>
  <si>
    <t>supplier tooling depreciation decrease</t>
  </si>
  <si>
    <t>FC= Standard cost (costing line 20 of YPC1) * FC volumes ,  All Others: e.g. depreciation K432 and maintenance for tooling</t>
  </si>
  <si>
    <t xml:space="preserve">   thereof OVC licences for embedded software</t>
  </si>
  <si>
    <t>Embedded software licences build into a product (K-account K5922 on a outbound (VK) cost center)</t>
  </si>
  <si>
    <t>ICO cost (Purchases) incl. value add sender</t>
  </si>
  <si>
    <t>Changchun, Boussens</t>
  </si>
  <si>
    <t>FC: FC volumes * Transfer-price 2023 ; Budget: BUD volumes * preliminary Transfer-Price 2024 received from ICO sending partner (= ICO Sales in RACE from sender)</t>
  </si>
  <si>
    <t xml:space="preserve">   thereof PE ICO</t>
  </si>
  <si>
    <t>PE ICO: FC and Budget Source = RACE FS 310503100</t>
  </si>
  <si>
    <t>Total Variable Labour cost</t>
  </si>
  <si>
    <t xml:space="preserve">   Variable Labour cost (Production)</t>
  </si>
  <si>
    <t>1 operator HC increase(quality inspector)</t>
  </si>
  <si>
    <t>O-node K-accounts E01-299  (FGK-P and FGK-S)</t>
  </si>
  <si>
    <t xml:space="preserve">   Variable Labour cost (MGK/VK)</t>
  </si>
  <si>
    <t>O-node K-accounts E01-299 Log Handling MGK /VK</t>
  </si>
  <si>
    <t xml:space="preserve">   Labour cost charge in/out from other PL</t>
  </si>
  <si>
    <t>TE debits/credits to/from other Outlets due to shared production lines / shared labor pool</t>
  </si>
  <si>
    <t>Variable Cost Center Cost w/o Labour cost</t>
  </si>
  <si>
    <t xml:space="preserve">   thereof consumable tools</t>
  </si>
  <si>
    <t>O-node K-accounts E01-300</t>
  </si>
  <si>
    <t xml:space="preserve">   thereof operating supplies</t>
  </si>
  <si>
    <t>shortened replacement time for major spareparts(e.g. test probe, welding tips)is necessary in 2024 due to the old equipment. 10K€</t>
  </si>
  <si>
    <t>O-node K-accounts E01-310 and E01-305</t>
  </si>
  <si>
    <t xml:space="preserve">   thereof variable maintenance (w/o labour cost)</t>
  </si>
  <si>
    <t>in line with new Maintenenace concept budget 2024 - cost element group 320/480 (without labor cost &amp; internal activity)</t>
  </si>
  <si>
    <t xml:space="preserve">   thereof utility / energy</t>
  </si>
  <si>
    <t>Occupied space increase 180 → 250sqm(39% increase, function test &amp; packaging spaces due to the quality issue) &amp; electricity tariff increase 5% compared to 2023</t>
  </si>
  <si>
    <t>O-node K-accounts E01-375</t>
  </si>
  <si>
    <t xml:space="preserve">   thereof Logistic cost variable w/o compensation</t>
  </si>
  <si>
    <t>Data linked to 5. Logisitc Cost sheet</t>
  </si>
  <si>
    <t xml:space="preserve">   thereof charges in/out from other PL</t>
  </si>
  <si>
    <t>TGB debits/credits to/from other Outlets due to shared production lines</t>
  </si>
  <si>
    <t xml:space="preserve">   thereof others</t>
  </si>
  <si>
    <t>FGK-P cost center remaining variable cost (e.g. K4705, K5306, K5404)</t>
  </si>
  <si>
    <t>Variations rework/spoilage/scrap</t>
  </si>
  <si>
    <t>BU target</t>
  </si>
  <si>
    <t>RACE FS 309503100</t>
  </si>
  <si>
    <t>Replacement and adjustment of general warranty</t>
  </si>
  <si>
    <t>RACE FS 310003100</t>
  </si>
  <si>
    <t>Variations due to start up cost</t>
  </si>
  <si>
    <t xml:space="preserve">RACE FS 309504100 </t>
  </si>
  <si>
    <t>Others</t>
  </si>
  <si>
    <t>Residual number (e.g. rounding differences, delta to RACE) - In case of significant figures please comment</t>
  </si>
  <si>
    <t>Direct Debits / Credits to P&amp;L</t>
  </si>
  <si>
    <t>Total variable cost</t>
  </si>
  <si>
    <t>Marginal Contribution after Variations</t>
  </si>
  <si>
    <t>in % of Sales</t>
  </si>
  <si>
    <t>Check</t>
  </si>
  <si>
    <t>FX Translation</t>
  </si>
  <si>
    <t xml:space="preserve">FC 7+5 
w/o
special impacts </t>
  </si>
  <si>
    <t xml:space="preserve"> Delta to FC
in %
</t>
  </si>
  <si>
    <t>Production Sales</t>
  </si>
  <si>
    <t>3. Seasonal Scrap &amp; Start-up planning</t>
  </si>
  <si>
    <t>2023 vs. 2024</t>
  </si>
  <si>
    <t>Roadmap 
YE 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</si>
  <si>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</si>
  <si>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</si>
  <si>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</si>
  <si>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</si>
  <si>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</si>
  <si>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</si>
  <si>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</si>
  <si>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</si>
  <si>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</si>
  <si>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</si>
  <si>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</si>
  <si>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</si>
  <si>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∆ 
vs. FC 7+5</t>
  </si>
  <si>
    <t>∆
perform. abs
&amp; in %</t>
  </si>
  <si>
    <t>∆
Sales</t>
  </si>
  <si>
    <t>Rework/spoilage/scrap - Serial business</t>
  </si>
  <si>
    <t>Area 1 - Variations rework/spoilage/scrap</t>
  </si>
  <si>
    <t>Knock Sensor</t>
  </si>
  <si>
    <t>Please show the top scrap focus areas concerning stable serial production (eg. lines, product groups, projects)</t>
  </si>
  <si>
    <t>Area 1 - Sales</t>
  </si>
  <si>
    <t>Write focus area name in column B</t>
  </si>
  <si>
    <t>Area 1 - Scrap in % of Sales</t>
  </si>
  <si>
    <t>Area 2 - Variations rework/spoilage/scrap</t>
  </si>
  <si>
    <t>Door Handle Sensor</t>
  </si>
  <si>
    <t>Area 2 - Sales</t>
  </si>
  <si>
    <t>Area 2- Scrap in % of Sales</t>
  </si>
  <si>
    <t>Area 3 - Variations rework/spoilage/scrap</t>
  </si>
  <si>
    <t>Area 3</t>
  </si>
  <si>
    <t>Area 3 - Sales</t>
  </si>
  <si>
    <t>Area 3- Scrap in % of Sales</t>
  </si>
  <si>
    <t>Area 4 - Variations rework/spoilage/scrap</t>
  </si>
  <si>
    <t>Area 4</t>
  </si>
  <si>
    <t>Area 4 - Sales</t>
  </si>
  <si>
    <t>Area 4- Scrap in % of Sales</t>
  </si>
  <si>
    <t>Area 5 - Variations rework/spoilage/scrap</t>
  </si>
  <si>
    <t>Area 5</t>
  </si>
  <si>
    <t>Area 5 - Sales</t>
  </si>
  <si>
    <t>Area 5- Scrap in % of Sales</t>
  </si>
  <si>
    <t>Area 6 - Variations rework/spoilage/scrap</t>
  </si>
  <si>
    <t>Area 6</t>
  </si>
  <si>
    <t>Area 6 - Sales</t>
  </si>
  <si>
    <t>Area 6- Scrap in % of Sales</t>
  </si>
  <si>
    <t>Area 7 - Variations rework/spoilage/scrap</t>
  </si>
  <si>
    <t>Area 7</t>
  </si>
  <si>
    <t>Area 7 - Sales</t>
  </si>
  <si>
    <t>Area 7 - Scrap in % of Sales</t>
  </si>
  <si>
    <t>Area 8 - Variations rework/spoilage/scrap</t>
  </si>
  <si>
    <t>Area 8</t>
  </si>
  <si>
    <t>Area 8 - Sales</t>
  </si>
  <si>
    <t>Area 8 - Scrap in % of Sales</t>
  </si>
  <si>
    <t>Area 9 - Variations rework/spoilage/scrap</t>
  </si>
  <si>
    <t>Area 9</t>
  </si>
  <si>
    <t>Area 9 - Sales</t>
  </si>
  <si>
    <t>Area 9 - Scrap in % of Sales</t>
  </si>
  <si>
    <t>Area 10 - Variations rework/spoilage/scrap</t>
  </si>
  <si>
    <t>Area 10</t>
  </si>
  <si>
    <t>Area 10 - Sales</t>
  </si>
  <si>
    <t>Area 10 - Scrap in % of Sales</t>
  </si>
  <si>
    <t>all other - Variations rework/spoilage/scrap</t>
  </si>
  <si>
    <t>All Other</t>
  </si>
  <si>
    <t>all other - Sales</t>
  </si>
  <si>
    <t>all other - Scrap in % of Sales</t>
  </si>
  <si>
    <t>Total - Variations rework/spoilage/scrap</t>
  </si>
  <si>
    <t>Total - Sales</t>
  </si>
  <si>
    <t>Total - Scrap in % of Sales</t>
  </si>
  <si>
    <t>Variations rework/spoilage/scrap - Special topics</t>
  </si>
  <si>
    <t>Reimbursement</t>
  </si>
  <si>
    <t>xxx</t>
  </si>
  <si>
    <t>Sales of Scrap</t>
  </si>
  <si>
    <t>Scrap &amp; start-up- Ramp-up / Launch</t>
  </si>
  <si>
    <t>Area 1</t>
  </si>
  <si>
    <t xml:space="preserve">Please show the top focus areas concerning ramp-up / new product launch (eg. lines, product groups, projects) </t>
  </si>
  <si>
    <t>Area 1 - Start-up</t>
  </si>
  <si>
    <t>Area 1 - Scrap&amp;Start-up in % of Sales</t>
  </si>
  <si>
    <t>Area 2</t>
  </si>
  <si>
    <t xml:space="preserve">Area 2 - Start-up </t>
  </si>
  <si>
    <t>Area 2 - Scrap in % of Sales</t>
  </si>
  <si>
    <t>Area 2 - Scrap&amp;Start-up in % of Sales</t>
  </si>
  <si>
    <t xml:space="preserve">Area 3 - Start-up </t>
  </si>
  <si>
    <t>Area 3 - Scrap in % of Sales</t>
  </si>
  <si>
    <t>Area 3 - Scrap&amp;Start-up in % of Sales</t>
  </si>
  <si>
    <t>Area 4 - Start-up</t>
  </si>
  <si>
    <t>Area 4 - Scrap in % of Sales</t>
  </si>
  <si>
    <t>Area 4 - Scrap&amp;Start-up in % of Sales</t>
  </si>
  <si>
    <t>Total - Start up</t>
  </si>
  <si>
    <t>Total - Start up in % of Sales</t>
  </si>
  <si>
    <t>CHECK vs RACE Download</t>
  </si>
  <si>
    <t>Race entry - Variations rework/spoilage/scrap</t>
  </si>
  <si>
    <t>Race entry - Start up</t>
  </si>
  <si>
    <t>Race entry - Sales</t>
  </si>
  <si>
    <t>check Scrap</t>
  </si>
  <si>
    <t>check Start-up</t>
  </si>
  <si>
    <t>check Sales</t>
  </si>
  <si>
    <t>Roadmap YE Dec</t>
  </si>
  <si>
    <t>Area 1 - Start-up (only scrap-related)</t>
  </si>
  <si>
    <t>Area 2 - Start-up (only scrap-related)</t>
  </si>
  <si>
    <t>Area 3 - Start-up (only scrap-related)</t>
  </si>
  <si>
    <t>Area 4 - Start-up (only scrap-related)</t>
  </si>
  <si>
    <t>4. BU Fix Cost</t>
  </si>
  <si>
    <t>∆</t>
  </si>
  <si>
    <t xml:space="preserve">Seasonalization is automatically updated from RACE Controllers Letter </t>
  </si>
  <si>
    <t>vs. FC 7+5</t>
  </si>
  <si>
    <t>Exception: PE distribution - manual input required</t>
  </si>
  <si>
    <t>in %</t>
  </si>
  <si>
    <t>Cost element groups according to GOA E01-XXX (based on Operations Costcenter node) per line:</t>
  </si>
  <si>
    <t>Assessment from Central Functions (520)</t>
  </si>
  <si>
    <t>IT cost allocation increase(due to allocation key increase), CM sales shrinking makes higher allocation portion, Overall FM(infra) cost increase due to plant extension and autostore + Occupied space increase for MES(180 → 250sqm)</t>
  </si>
  <si>
    <t>Cost element group 520 - in general: S87x1x, S87490, S87491, S87294, S87295, S87296</t>
  </si>
  <si>
    <t>Assessment from FF (520)</t>
  </si>
  <si>
    <t>Important: needs to be zero on plant level, please align with your partner outlet - Detailed information here: https://confluence.vitesco.io/pages/viewpage.action?pageId=167612785</t>
  </si>
  <si>
    <t>Compensation (E01-299)</t>
  </si>
  <si>
    <t>other compensations(Employee benefit coupon) increased due to the Variable HC 4 increase</t>
  </si>
  <si>
    <t>Cost element group 299 - in general: S87x3x, S87490, S87491, S87294, S87295, S87296, S87431</t>
  </si>
  <si>
    <t>Maintenance (E01-320)</t>
  </si>
  <si>
    <t>in line with new Maintenenace concept budget 2024 - cost element group 320/480</t>
  </si>
  <si>
    <t>Product Validation / Requalification after G60</t>
  </si>
  <si>
    <t>Knock sensors RV test for HKMC</t>
  </si>
  <si>
    <t>In general: K5305 for external laboratory cost, K6626 for internal cost (or hourly recording S99116 from Q-Lab)</t>
  </si>
  <si>
    <t>Related project expenses (RPE)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</si>
  <si>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</si>
  <si>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Others (remaining)</t>
  </si>
  <si>
    <t>Timing issue, burden material increase</t>
  </si>
  <si>
    <t>LVA, Travel/Training, no more hourly booking from variable Maintenance, no more FSC charges</t>
  </si>
  <si>
    <t>Plant Originated PMME</t>
  </si>
  <si>
    <t>NSHS Allocations in PE MGK &amp; PE FGK</t>
  </si>
  <si>
    <t>FC7+5</t>
  </si>
  <si>
    <t>Account K66271 / K66270</t>
  </si>
  <si>
    <t>NSHS Services in PE MGK &amp; PE FGK</t>
  </si>
  <si>
    <t>Cost element group 535 incl. BU Production SERV K66280 w/o allocation account K66271,  w/o PV/Requalification, w/o IT Transfers IN (part of Central Function assessment)</t>
  </si>
  <si>
    <t>Shared equipment "K662x" accounts</t>
  </si>
  <si>
    <t>no line share cost</t>
  </si>
  <si>
    <t>https://confluence.vitesco.io/pages/viewpage.action?pageId=136846844</t>
  </si>
  <si>
    <t>PMME Depreciation intangible development assets</t>
  </si>
  <si>
    <t>RACE FS 122132000 only Movementtype 210 / in general part of K403</t>
  </si>
  <si>
    <t>PMME Depreciation w/o intangible</t>
  </si>
  <si>
    <t>Cost element group 345 w/o Depreciation of intangible development assets depreciation</t>
  </si>
  <si>
    <t>PMME Others</t>
  </si>
  <si>
    <t>Delta RACE vs. RACE CTL</t>
  </si>
  <si>
    <t>PMME Total</t>
  </si>
  <si>
    <t xml:space="preserve">RACE FS 310501100, FS 310501600, FS 31052100 </t>
  </si>
  <si>
    <t>Period expenses ICO</t>
  </si>
  <si>
    <t>RACE FS 310503100</t>
  </si>
  <si>
    <t>Compensation</t>
  </si>
  <si>
    <t>Cost element group  299 in general: S87x3x, S87490, S87491, S87294, S87295, S87296, S87431</t>
  </si>
  <si>
    <t>Assessment from Central Functions</t>
  </si>
  <si>
    <t xml:space="preserve">Sales decrease impact </t>
  </si>
  <si>
    <t>Cost element group  520</t>
  </si>
  <si>
    <t>NSHS Services in PE VK</t>
  </si>
  <si>
    <t>Cost element group  535 w/o allocation K66274  w/o IT Transfers IN  (is part of Central Function assessment)</t>
  </si>
  <si>
    <t>NSHS Allocations in PE VK</t>
  </si>
  <si>
    <t>Account K66274</t>
  </si>
  <si>
    <t>Remaining cost (calculated)</t>
  </si>
  <si>
    <t>PE distribution</t>
  </si>
  <si>
    <t>RACE FS 312002100</t>
  </si>
  <si>
    <t>Sales &amp; distribution expenses w/o PE distribution</t>
  </si>
  <si>
    <t>RACE FS 312001100 &amp; FS 312001600</t>
  </si>
  <si>
    <t>R, D &amp; E  expenses</t>
  </si>
  <si>
    <t>RACE FS 311500000</t>
  </si>
  <si>
    <t>Finance, general &amp; administration expenses</t>
  </si>
  <si>
    <t>RACE FS 312201100 - starting from Budget 2023 incl FSC charges</t>
  </si>
  <si>
    <t>Total Period Expenses</t>
  </si>
  <si>
    <t>RACE FS 310500000 + 311500000 + 312000000 + 312201100</t>
  </si>
  <si>
    <t>Plant Orignated PMME</t>
  </si>
  <si>
    <t>% of Total Sales</t>
  </si>
  <si>
    <t>PMME others (Depr, NPF, SHS)</t>
  </si>
  <si>
    <t>CF assessments</t>
  </si>
  <si>
    <t>Check vs Race entry</t>
  </si>
  <si>
    <t>∆ vs FC 7+5</t>
  </si>
  <si>
    <t>@ Avg FX</t>
  </si>
  <si>
    <t>@ Bud FX 24</t>
  </si>
  <si>
    <t>@Avg FX June</t>
  </si>
  <si>
    <t>@Avg FX July</t>
  </si>
  <si>
    <t>@Bud FX 24</t>
  </si>
  <si>
    <t>5. Logistic Cost</t>
  </si>
  <si>
    <t xml:space="preserve">therein
special impacts </t>
  </si>
  <si>
    <t xml:space="preserve">FC 7+5
w/o special impacts </t>
  </si>
  <si>
    <t xml:space="preserve">Product Sales </t>
  </si>
  <si>
    <t>Total Variable Logistic Cost</t>
  </si>
  <si>
    <t xml:space="preserve"> in % of Sales</t>
  </si>
  <si>
    <t xml:space="preserve">Variable Cost Inbound </t>
  </si>
  <si>
    <t xml:space="preserve">   thereof Var Labour Cost Inbound (MGK)</t>
  </si>
  <si>
    <t>Cost element group E01-299 for Inbound (MGK) | Calc price effect: wage increase = (Budget 2024 Labor Cost / (1+wage increase var in %) ) - Budget 2024 Labor Cost</t>
  </si>
  <si>
    <t xml:space="preserve">   thereof Var Logistic cost: inbound freight</t>
  </si>
  <si>
    <t>K-accounts K5601, K5603, K5610, K5611, K5612, K5613</t>
  </si>
  <si>
    <t xml:space="preserve">   thereof Var Logistic cost: inbound premium freight</t>
  </si>
  <si>
    <t>K-account K5602 + Reimbursements account N09067</t>
  </si>
  <si>
    <t xml:space="preserve">   thereof Var Logistic cost: inbound packaging</t>
  </si>
  <si>
    <t>K-accounts K5604 (incl. returnables), K05501 for MGK</t>
  </si>
  <si>
    <t xml:space="preserve">   thereof Var Logistic cost: inbound customs/duty external</t>
  </si>
  <si>
    <t>K-accounts Inbound K5605</t>
  </si>
  <si>
    <t xml:space="preserve">   thereof Var Logistic cost: inbound customs/duty ICO</t>
  </si>
  <si>
    <t>K-accounts Inbound K56051</t>
  </si>
  <si>
    <t xml:space="preserve">   thereof Var Logistic cost: inbound service Cost</t>
  </si>
  <si>
    <t>K-accounts Inbound K5609, K56041 + O-node E01-435 (only variable)</t>
  </si>
  <si>
    <t xml:space="preserve">Variable Cost Outbound </t>
  </si>
  <si>
    <t xml:space="preserve">   thereof Var Labour Cost Outbound (VK)</t>
  </si>
  <si>
    <t xml:space="preserve">Cost element group E01-299 for Outbound (VK) </t>
  </si>
  <si>
    <t xml:space="preserve">   thereof Var Logistic cost: outbound freight </t>
  </si>
  <si>
    <t>K-accounts  K6115, K6119, K6131, K6133, K6140 | Calc price effect: wage increase = (Budget 2024 Labor Cost / (1+wage increase var in %) ) - Budget 2024 Labor Cost</t>
  </si>
  <si>
    <t xml:space="preserve">   thereof Var Logistic cost: outbound premium freight </t>
  </si>
  <si>
    <t>K-accounts K6106 + Reimbursements account N09068</t>
  </si>
  <si>
    <t xml:space="preserve">   thereof Var Logistic cost: outbound packaging</t>
  </si>
  <si>
    <t>K-accounts K6107  (incl. returnables) , K05501 for VK</t>
  </si>
  <si>
    <t xml:space="preserve">   thereof Var Logistic cost: outbound service Cost</t>
  </si>
  <si>
    <t>K-accounts Outbound K6120, K61071 + O-node E01-435 (only variable)</t>
  </si>
  <si>
    <t>Total Logistic HC</t>
  </si>
  <si>
    <t>Total SCM Headcount (Inbound and Outbound, variable and fix)</t>
  </si>
  <si>
    <t xml:space="preserve">   thereof Log Var HC</t>
  </si>
  <si>
    <t xml:space="preserve">   thereof Log Fix HC</t>
  </si>
  <si>
    <t>Own fix SCM HC &amp; CF fix SCM HC allocated to Product Line according Common Profit Center Key</t>
  </si>
  <si>
    <t xml:space="preserve">   thereof Var Labour cost Inbound (MGK)</t>
  </si>
  <si>
    <t>Cost element group E01-299 for Inbound (MGK)</t>
  </si>
  <si>
    <t xml:space="preserve">   thereof Var Logistic cost: inbound service cost</t>
  </si>
  <si>
    <t xml:space="preserve">   thereof Var Labour cost Outbound (VK)</t>
  </si>
  <si>
    <t xml:space="preserve">K-accounts  K6115, K6119, K6131, K6133, K6140 </t>
  </si>
  <si>
    <t xml:space="preserve">   thereof Var Logistic cost: outbound service cost</t>
  </si>
  <si>
    <t>5.1 Inventory Details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</si>
  <si>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</si>
  <si>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</si>
  <si>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</si>
  <si>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</si>
  <si>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</si>
  <si>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</si>
  <si>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</si>
  <si>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</si>
  <si>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</si>
  <si>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</si>
  <si>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</si>
  <si>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</si>
  <si>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</si>
  <si>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</si>
  <si>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</si>
  <si>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Budget Sales YE</t>
  </si>
  <si>
    <t>Please enter the inventory values seasonalized and split toregular and one timer</t>
  </si>
  <si>
    <t xml:space="preserve">RAW total  </t>
  </si>
  <si>
    <t>Please check that the detailled breakdown matches the total RACE number</t>
  </si>
  <si>
    <t>regular</t>
  </si>
  <si>
    <t>Raw (normal operation)</t>
  </si>
  <si>
    <t>Raw in transit ICO (normal operation)</t>
  </si>
  <si>
    <t>Raw in transit ext. Supplier</t>
  </si>
  <si>
    <t>Blocked Stock (Quality)</t>
  </si>
  <si>
    <t>OES</t>
  </si>
  <si>
    <t>one timer</t>
  </si>
  <si>
    <t>Agreed Security Stock OEM</t>
  </si>
  <si>
    <t>Allocation/Backlog</t>
  </si>
  <si>
    <t>ATB (All Time Buy)</t>
  </si>
  <si>
    <t>Bank build</t>
  </si>
  <si>
    <t>MOU</t>
  </si>
  <si>
    <t>Phase out</t>
  </si>
  <si>
    <t>Ramp up</t>
  </si>
  <si>
    <t>Supplier Pulls In</t>
  </si>
  <si>
    <t xml:space="preserve">WIP total  </t>
  </si>
  <si>
    <t>WIP (normal operation)</t>
  </si>
  <si>
    <t xml:space="preserve">FIN total </t>
  </si>
  <si>
    <t>Fin Non-Consignment (normal operation)</t>
  </si>
  <si>
    <t>FIN in transit and/or in consignment</t>
  </si>
  <si>
    <t>LTB (Last Time Build)</t>
  </si>
  <si>
    <t xml:space="preserve">thereof Merchandise / Trading </t>
  </si>
  <si>
    <t>Additional Target BU and/or Division</t>
  </si>
  <si>
    <t xml:space="preserve">INVENTORIES total  </t>
  </si>
  <si>
    <t>Turnrate (TR)</t>
  </si>
  <si>
    <t>YE TR 14.54, AVG TR 8.43 --&gt; B/S should be updated.</t>
  </si>
  <si>
    <t>Check TOTAL</t>
  </si>
  <si>
    <t>Check RAW</t>
  </si>
  <si>
    <t>Check WIP</t>
  </si>
  <si>
    <t>Check FIN</t>
  </si>
  <si>
    <t>@Current FX</t>
  </si>
  <si>
    <t>@Plan FX 24</t>
  </si>
  <si>
    <t>2023
INV FC 7+5</t>
  </si>
  <si>
    <t>6. Headcount</t>
  </si>
  <si>
    <t>Headcount 2023</t>
  </si>
  <si>
    <t>Headcount 2024</t>
  </si>
  <si>
    <t>2023
June</t>
  </si>
  <si>
    <t>2023
FC 7+5 (YE Dec)</t>
  </si>
  <si>
    <t>2023
FC 7+5 (Avg)</t>
  </si>
  <si>
    <t>2024
Dec YE</t>
  </si>
  <si>
    <t>2024
Avg. Budget</t>
  </si>
  <si>
    <t>Avg ∆
vs. FC 7+5</t>
  </si>
  <si>
    <t>Avg ∆ 
vs. FC 7+5 (in %)</t>
  </si>
  <si>
    <t>Employees (own and leasing):</t>
  </si>
  <si>
    <t>Manufacturing operators</t>
  </si>
  <si>
    <t>1 operator(quality inspector) is necessary due to the quality issues</t>
  </si>
  <si>
    <t>FGK-P/FGK-S costcenter node (DEF and leasing operators heads in Production)</t>
  </si>
  <si>
    <t>Manufacturing auxiliary heads</t>
  </si>
  <si>
    <t>FGK-P/FGK-S costcenter node (HEF and leasing auxiliary heads in Production)</t>
  </si>
  <si>
    <t>Material Management</t>
  </si>
  <si>
    <t xml:space="preserve">MGK costcenter node (HEF Material handler for Logistic Inbound) </t>
  </si>
  <si>
    <t>Sales &amp; Distribution</t>
  </si>
  <si>
    <t xml:space="preserve">VK costcenter node (HEF Material handler for Logistic Outbound) </t>
  </si>
  <si>
    <t>Total variable</t>
  </si>
  <si>
    <t>Production</t>
  </si>
  <si>
    <t>FGK costcenter node (NEF + FEF in Production), only HC assigned to own profitcenter / BU</t>
  </si>
  <si>
    <t>MGK costcenter node (NEF)</t>
  </si>
  <si>
    <t>Plant Administration</t>
  </si>
  <si>
    <t>WVK costcenter node (NEF)</t>
  </si>
  <si>
    <t>VK costcenter node (NEF)</t>
  </si>
  <si>
    <t>R, D &amp; E</t>
  </si>
  <si>
    <t>Central Management R&amp;D ostcenter</t>
  </si>
  <si>
    <t>Central Management MGK/FGK/VK/FG&amp;A</t>
  </si>
  <si>
    <t>Total fix</t>
  </si>
  <si>
    <t>Total employees (own and leasing)</t>
  </si>
  <si>
    <t>Central Functions (assessed)</t>
  </si>
  <si>
    <t>HC from common / shared profitcenter, If applicable</t>
  </si>
  <si>
    <t>Details in Central Function planning  -&gt; HC originally assigned in Central Function and assessed in RACE to O-node according common profitcenter key</t>
  </si>
  <si>
    <t>RACE variable</t>
  </si>
  <si>
    <t>RACE FS CO-010101000</t>
  </si>
  <si>
    <t>RACE fix</t>
  </si>
  <si>
    <t>RACE FS CO-010106000</t>
  </si>
  <si>
    <t>Compensation average variable per Employee (calc)</t>
  </si>
  <si>
    <t>(Total variable Labor Cost E01-299 from FGK-P, FGK-S,MGK, VK) / (average variable Heads)</t>
  </si>
  <si>
    <t>Compensation average variable per DEF Employee (manual)</t>
  </si>
  <si>
    <t>Variable compensation cost E01-299 from O-node related to DEF and leasing operators heads</t>
  </si>
  <si>
    <t>Compensation average variable per HEF Employee (manual)</t>
  </si>
  <si>
    <t>Variable compensation cost E01-299 from O-node related to HEF and leasing auxiliary heads</t>
  </si>
  <si>
    <t>Compensation average fix per Employee (manual)</t>
  </si>
  <si>
    <t>(Fix compensation cost E01-299 from Operations and Central Function node) / (average fix heads from Operations and Central Function node)</t>
  </si>
  <si>
    <t>Effective attendance time/year (minutes)</t>
  </si>
  <si>
    <t>According definition Plant Cost Structure</t>
  </si>
  <si>
    <t>TE minutes based on Budget Volume</t>
  </si>
  <si>
    <t>TE minutes based on Budget Volume from FGK-P costcenter node</t>
  </si>
  <si>
    <t>External Factors</t>
  </si>
  <si>
    <t>distributed</t>
  </si>
  <si>
    <t>applied in budget</t>
  </si>
  <si>
    <t>Wage increase in % as distributed with external factors for Budget 2024 vs applied wage increase in % for cost budget</t>
  </si>
  <si>
    <t>Wage increase (var)</t>
  </si>
  <si>
    <t xml:space="preserve"> in %</t>
  </si>
  <si>
    <t>Please comment in case you considered a different wage increase in the cost budget</t>
  </si>
  <si>
    <t>Wage increase (fix)</t>
  </si>
  <si>
    <t>Wage increase (calc var own HC)</t>
  </si>
  <si>
    <t>Calculated wage increase = (Budget 2024 Total Variable Labor Cost / (1+wage increase var in %) ) - Budget 2024 Total Variable Labor Cost</t>
  </si>
  <si>
    <t>Wage increase (calc fix own HC)</t>
  </si>
  <si>
    <t>Calculated wage increase = (Budget 2024 PMME Compensation / (1+wage increase fix in %) ) - Budget 2024 PMME Compensation | without CF wage increase</t>
  </si>
  <si>
    <t>7. Balance Sheet - Key Figures</t>
  </si>
  <si>
    <t>In General: figures are taken automatically from RACE except Working Capital (avg.) &amp; Average Turnrate</t>
  </si>
  <si>
    <t>Total Sales</t>
  </si>
  <si>
    <t>therein external sales</t>
  </si>
  <si>
    <t>External Sales</t>
  </si>
  <si>
    <t>Working Capital</t>
  </si>
  <si>
    <t>Inventories</t>
  </si>
  <si>
    <t>RACE FS 131111000</t>
  </si>
  <si>
    <t>therein Raw materials</t>
  </si>
  <si>
    <t>RACE FS 131116000 &amp; 131118000 (WiP appl. eng.)</t>
  </si>
  <si>
    <t>therein Work in progress</t>
  </si>
  <si>
    <t>RACE FS 131121000</t>
  </si>
  <si>
    <t>therein Finished goods and merchandise</t>
  </si>
  <si>
    <t>YE Turnrate (Sales / Inventory)</t>
  </si>
  <si>
    <t>Average Turnrate</t>
  </si>
  <si>
    <t>Average Turnrate - manual input required for 2022 annd 2023, Budget linked to Inventory sheet</t>
  </si>
  <si>
    <t>Accounts receivable operating</t>
  </si>
  <si>
    <t>Calculation Inventory sheet: Budget 2024 = Sales Budget 2024 / (Jan - Dec) Budget Inventories /12 months</t>
  </si>
  <si>
    <t>% of external sales</t>
  </si>
  <si>
    <t>Calculation FC 7+5 =  Sales FC 7+5 / (Jan - Dec) FC 7+5 Inventories /12 months</t>
  </si>
  <si>
    <t>Accounts payable operating</t>
  </si>
  <si>
    <t>% of sales</t>
  </si>
  <si>
    <t>Working capital average - manual input required:</t>
  </si>
  <si>
    <t>Spending w/o RoU</t>
  </si>
  <si>
    <t>8. Volumes (TOP Projects)</t>
  </si>
  <si>
    <t>∆
vs. FC 7+5</t>
  </si>
  <si>
    <t>∆
vs. FC 7+5 2023
in %</t>
  </si>
  <si>
    <t>YPC1
Contribution Margin</t>
  </si>
  <si>
    <t>FC 7+5 
Volume
(in '000 Units)</t>
  </si>
  <si>
    <t>Product Group</t>
  </si>
  <si>
    <t>Budget
Volume
(in '000 Units)</t>
  </si>
  <si>
    <t>Overview should show only the top projects</t>
  </si>
  <si>
    <t>DHS(Door Handle Sensor)</t>
  </si>
  <si>
    <t>KS (Knock Sensor)</t>
  </si>
  <si>
    <t>External / ICO Volumes (TOP Projects)</t>
  </si>
  <si>
    <t>EXT Own production = volumes produced in shop floor and sold to EXT customer -&gt; EXT Volume
ICO Own production = volumes produced in shop floor and sold to ICO customer -&gt; ICO Volume</t>
  </si>
  <si>
    <t>10. Purchasing</t>
  </si>
  <si>
    <t>Material Budget Value</t>
  </si>
  <si>
    <t>Annual Price Reduction</t>
  </si>
  <si>
    <t>Comment</t>
  </si>
  <si>
    <t>2023 Baseline Price</t>
  </si>
  <si>
    <t>2024 Budget Price</t>
  </si>
  <si>
    <t>absolute</t>
  </si>
  <si>
    <t>Annual Price Reduction (Purchasing), positive = favourable / negative = unfavourable</t>
  </si>
  <si>
    <t>2023 Baseline Price = Budget volume 2024 * Baseline prices 2023 from MODIAS</t>
  </si>
  <si>
    <t>Official Modias status as of (date: dd/mm):</t>
  </si>
  <si>
    <t>2024 Budget Price = Budget volume 2024 * Baseline prices 2024 from MODIAS</t>
  </si>
  <si>
    <t>DHS missing portion</t>
  </si>
  <si>
    <t>inclusion for missing data in MODIAS(A2C37836303)</t>
  </si>
  <si>
    <t>If major deviations to MODIAS PVO, please calculate effect and explain (e.g. volume or price for Material or product group)</t>
  </si>
  <si>
    <t>Specifiy deviation to Modias 2</t>
  </si>
  <si>
    <t>Specifiy deviation to Modias 3</t>
  </si>
  <si>
    <t>Specifiy deviation to Modias 4</t>
  </si>
  <si>
    <t>Specifiy deviation to Modias 5</t>
  </si>
  <si>
    <t>Outside material and subcontracting w/o discount, tooling, customs</t>
  </si>
  <si>
    <t>Info: Subcontracting is part of official Modias value.</t>
  </si>
  <si>
    <t>11. Risks and Opportunities</t>
  </si>
  <si>
    <t>Please explain significant risks and opportunities, which are not considered in Budget 2024</t>
  </si>
  <si>
    <t>Working capital EOP</t>
  </si>
  <si>
    <t>Additional MOU Overstock Risk ( Value not yet defined)</t>
  </si>
  <si>
    <t>In case that impact is not yet defined, please keep Sales/EBIT/WCAP effect empty instead of typing any text</t>
  </si>
  <si>
    <t>Risk 2</t>
  </si>
  <si>
    <t>Risk 3</t>
  </si>
  <si>
    <t>Risk 4</t>
  </si>
  <si>
    <t>Risk 5</t>
  </si>
  <si>
    <t>Risk 6</t>
  </si>
  <si>
    <t>Risk 7</t>
  </si>
  <si>
    <t>Risk 8</t>
  </si>
  <si>
    <t>Risk 9</t>
  </si>
  <si>
    <t>Total Risks</t>
  </si>
  <si>
    <t>Subcontractor price negotiation</t>
  </si>
  <si>
    <t>Opportunity 5</t>
  </si>
  <si>
    <t>Opportunity 6</t>
  </si>
  <si>
    <t>Opportunity 7</t>
  </si>
  <si>
    <t>Opportunity 8</t>
  </si>
  <si>
    <t>Opportunity 9</t>
  </si>
  <si>
    <t>Total Opportunities</t>
  </si>
  <si>
    <t>Total Risks &amp; Opportunities</t>
  </si>
  <si>
    <t>Yes</t>
  </si>
  <si>
    <t>Extract from RACE FS Item Report</t>
  </si>
  <si>
    <t>No</t>
  </si>
  <si>
    <t>YE 2022
↓</t>
  </si>
  <si>
    <t>Plan 2023
↓</t>
  </si>
  <si>
    <t>YTD June 2023
↓</t>
  </si>
  <si>
    <t>FC 6+6 2023
↓</t>
  </si>
  <si>
    <t>FC 7+5 2023
↓</t>
  </si>
  <si>
    <t>Plan 2024
↓</t>
  </si>
  <si>
    <t/>
  </si>
  <si>
    <t>YTD PY</t>
  </si>
  <si>
    <t>FC PY</t>
  </si>
  <si>
    <t>304500000_Result</t>
  </si>
  <si>
    <t>305000000_Result</t>
  </si>
  <si>
    <t>Net sales</t>
  </si>
  <si>
    <t>305001100_Result</t>
  </si>
  <si>
    <t>Net sales internal</t>
  </si>
  <si>
    <t>305001600_Result</t>
  </si>
  <si>
    <t>Net sales ICO</t>
  </si>
  <si>
    <t>305001700_Result</t>
  </si>
  <si>
    <t>Net sales related parties</t>
  </si>
  <si>
    <t>305002100_Result</t>
  </si>
  <si>
    <t>Net sales external</t>
  </si>
  <si>
    <t>305500000_Result</t>
  </si>
  <si>
    <t>Sales variations</t>
  </si>
  <si>
    <t>305501700_Result</t>
  </si>
  <si>
    <t>Variations to net sales related parties</t>
  </si>
  <si>
    <t>305502200_Result</t>
  </si>
  <si>
    <t>Equalization</t>
  </si>
  <si>
    <t>306000000_Result</t>
  </si>
  <si>
    <t>Variable costs</t>
  </si>
  <si>
    <t>306500000_Result</t>
  </si>
  <si>
    <t>Variable costs over standard</t>
  </si>
  <si>
    <t>306501100_Result</t>
  </si>
  <si>
    <t>Variable costs ICO</t>
  </si>
  <si>
    <t>306501600_Result</t>
  </si>
  <si>
    <t>Variable manufacturing costs</t>
  </si>
  <si>
    <t>307000000_Result</t>
  </si>
  <si>
    <t>Other variable costs</t>
  </si>
  <si>
    <t>307001600_Result</t>
  </si>
  <si>
    <t>OVC handling</t>
  </si>
  <si>
    <t>307002100_Result</t>
  </si>
  <si>
    <t>OVC freight</t>
  </si>
  <si>
    <t>307003100_Result</t>
  </si>
  <si>
    <t>OVC duty</t>
  </si>
  <si>
    <t>307500000_Result</t>
  </si>
  <si>
    <t>Cost variations</t>
  </si>
  <si>
    <t>308000000_Result</t>
  </si>
  <si>
    <t>Var. to raw material total</t>
  </si>
  <si>
    <t>308001200_Result</t>
  </si>
  <si>
    <t>Var. to raw material price</t>
  </si>
  <si>
    <t>308001100_Result</t>
  </si>
  <si>
    <t>Var. to raw material price - until 2021</t>
  </si>
  <si>
    <t>308001600_Result</t>
  </si>
  <si>
    <t>Inventory valuation allowance (raw material &amp; supply)</t>
  </si>
  <si>
    <t>308002100_Result</t>
  </si>
  <si>
    <t>Inventory variations (raw material &amp; supply)</t>
  </si>
  <si>
    <t>308002600_Result</t>
  </si>
  <si>
    <t>Variations to material price - PPV other</t>
  </si>
  <si>
    <t>308003100_Result</t>
  </si>
  <si>
    <t>Variations to material price - FX</t>
  </si>
  <si>
    <t>308500000_Result</t>
  </si>
  <si>
    <t>Variations in manufacturing total</t>
  </si>
  <si>
    <t>309501100_Result</t>
  </si>
  <si>
    <t>Variations to manufacturing other (input)</t>
  </si>
  <si>
    <t>309501110_Result</t>
  </si>
  <si>
    <t>Variations to manufacturing other input - LDC</t>
  </si>
  <si>
    <t>309501120_Result</t>
  </si>
  <si>
    <t>Variations to manufacturing other input - MDC</t>
  </si>
  <si>
    <t>309501600_Result</t>
  </si>
  <si>
    <t>Variations in cost centers</t>
  </si>
  <si>
    <t>309501610_Result</t>
  </si>
  <si>
    <t>Variation in Production CC - Labor depending</t>
  </si>
  <si>
    <t>309501620_Result</t>
  </si>
  <si>
    <t>Variation in Production CC - Machine depending</t>
  </si>
  <si>
    <t>309501630_Result</t>
  </si>
  <si>
    <t>Variation actual to standard production order</t>
  </si>
  <si>
    <t>309501640_Result</t>
  </si>
  <si>
    <t>Variation Inbound freight / var. Material Mgmt</t>
  </si>
  <si>
    <t>309501650_Result</t>
  </si>
  <si>
    <t>Variation to ICO customs &amp; Duty</t>
  </si>
  <si>
    <t>309502100_Result</t>
  </si>
  <si>
    <t>Variations to labor cost (tariff increase)</t>
  </si>
  <si>
    <t>309503100_Result</t>
  </si>
  <si>
    <t>309503600_Result</t>
  </si>
  <si>
    <t>Variations material usage</t>
  </si>
  <si>
    <t>309504100_Result</t>
  </si>
  <si>
    <t>Variations due to start up costs</t>
  </si>
  <si>
    <t>310000000_Result</t>
  </si>
  <si>
    <t>Other cost variations total</t>
  </si>
  <si>
    <t>310001100_Result</t>
  </si>
  <si>
    <t>Var. to social cost</t>
  </si>
  <si>
    <t>310003100_Result</t>
  </si>
  <si>
    <t>Replacement and adjustment and general warranty</t>
  </si>
  <si>
    <t>310003600_Result</t>
  </si>
  <si>
    <t>Variations to handling</t>
  </si>
  <si>
    <t>310004100_Result</t>
  </si>
  <si>
    <t>Variations to freight</t>
  </si>
  <si>
    <t>310006600_Result</t>
  </si>
  <si>
    <t>Other cost variations</t>
  </si>
  <si>
    <t>304000000_Result</t>
  </si>
  <si>
    <t>Marginal contribution after variations</t>
  </si>
  <si>
    <t>310500000_Result</t>
  </si>
  <si>
    <t>Production &amp; materials management expenses</t>
  </si>
  <si>
    <t>310501100_Result</t>
  </si>
  <si>
    <t>PE production</t>
  </si>
  <si>
    <t>310501600_Result</t>
  </si>
  <si>
    <t>PE materials management</t>
  </si>
  <si>
    <t>310502100_Result</t>
  </si>
  <si>
    <t>PE plant administration</t>
  </si>
  <si>
    <t>310503100_Result</t>
  </si>
  <si>
    <t>310504100_Result</t>
  </si>
  <si>
    <t>Production &amp; materials management expenses allocation out</t>
  </si>
  <si>
    <t>311000000_Result</t>
  </si>
  <si>
    <t>Gross margin adjustments</t>
  </si>
  <si>
    <t>311001100_Result</t>
  </si>
  <si>
    <t>Inventory variations (finished goods)</t>
  </si>
  <si>
    <t>311001600_Result</t>
  </si>
  <si>
    <t>Inventory valuation allowance (finished goods &amp; wip)</t>
  </si>
  <si>
    <t>311001700_Result</t>
  </si>
  <si>
    <t>303500000_Result</t>
  </si>
  <si>
    <t>Gross margin</t>
  </si>
  <si>
    <t>311500000_Result</t>
  </si>
  <si>
    <t>R, D &amp; E expenses</t>
  </si>
  <si>
    <t>311500600_Result</t>
  </si>
  <si>
    <t>Primary R, D &amp; E costs Total</t>
  </si>
  <si>
    <t>311500610_Result</t>
  </si>
  <si>
    <t>R &amp; D</t>
  </si>
  <si>
    <t>311500620_Result</t>
  </si>
  <si>
    <t>Application engineering</t>
  </si>
  <si>
    <t>311501900_Result</t>
  </si>
  <si>
    <t>Governmental grants for R, D &amp; E</t>
  </si>
  <si>
    <t>311501910_Result</t>
  </si>
  <si>
    <t>Governmental grants for generic R &amp; D</t>
  </si>
  <si>
    <t>311501920_Result</t>
  </si>
  <si>
    <t>Governmental grants for application engineering</t>
  </si>
  <si>
    <t>311502000_Result</t>
  </si>
  <si>
    <t>R, D &amp; E licences income Total</t>
  </si>
  <si>
    <t>311502200_Result</t>
  </si>
  <si>
    <t>R &amp; D licenses income</t>
  </si>
  <si>
    <t>311502300_Result</t>
  </si>
  <si>
    <t>Application engineering licenses income</t>
  </si>
  <si>
    <t>311502500_Result</t>
  </si>
  <si>
    <t>R, D &amp; E licences expenses Total</t>
  </si>
  <si>
    <t>311502700_Result</t>
  </si>
  <si>
    <t>R &amp; D licenses expenses</t>
  </si>
  <si>
    <t>311503100_Result</t>
  </si>
  <si>
    <t>R, D &amp; E allocation in</t>
  </si>
  <si>
    <t>311503600_Result</t>
  </si>
  <si>
    <t>R, D &amp; E allocation out</t>
  </si>
  <si>
    <t>311504100_Result</t>
  </si>
  <si>
    <t>R, D &amp; E prior year</t>
  </si>
  <si>
    <t>312000000_Result</t>
  </si>
  <si>
    <t>Sales &amp; distribution expenses</t>
  </si>
  <si>
    <t>312001100_Result</t>
  </si>
  <si>
    <t>PE selling</t>
  </si>
  <si>
    <t>312001600_Result</t>
  </si>
  <si>
    <t>PE communication</t>
  </si>
  <si>
    <t>312002100_Result</t>
  </si>
  <si>
    <t>312003600_Result</t>
  </si>
  <si>
    <t>Sales &amp; distribution expenses allocation out</t>
  </si>
  <si>
    <t>312200000_Result</t>
  </si>
  <si>
    <t>312201100_Result</t>
  </si>
  <si>
    <t>312202100_Result</t>
  </si>
  <si>
    <t>Finance, general &amp; administration exp. allocation out</t>
  </si>
  <si>
    <t>312500000_Result</t>
  </si>
  <si>
    <t>Other operational income/expenses total</t>
  </si>
  <si>
    <t>312501100_Result</t>
  </si>
  <si>
    <t>Termination payments</t>
  </si>
  <si>
    <t>312501600_Result</t>
  </si>
  <si>
    <t>Provisions for doubtful accounts</t>
  </si>
  <si>
    <t>312502100_Result</t>
  </si>
  <si>
    <t>Governmental grants</t>
  </si>
  <si>
    <t>312502610_Result</t>
  </si>
  <si>
    <t>Tooling costs</t>
  </si>
  <si>
    <t>312502620_Result</t>
  </si>
  <si>
    <t>Reimbursements of tooling costs</t>
  </si>
  <si>
    <t>312502700_Result</t>
  </si>
  <si>
    <t>R, D &amp; E reimbursements</t>
  </si>
  <si>
    <t>312502710_Result</t>
  </si>
  <si>
    <t>Generic R &amp; D reimbursements</t>
  </si>
  <si>
    <t>312502711_Result</t>
  </si>
  <si>
    <t>Generic R &amp; D reimbursements ICO</t>
  </si>
  <si>
    <t>312502712_Result</t>
  </si>
  <si>
    <t>Generic R &amp; D reimbursements related parties</t>
  </si>
  <si>
    <t>312502720_Result</t>
  </si>
  <si>
    <t>Application engineering reimbursements</t>
  </si>
  <si>
    <t>312502722_Result</t>
  </si>
  <si>
    <t>Application engineering reimbursements related parties</t>
  </si>
  <si>
    <t>312503200_Result</t>
  </si>
  <si>
    <t>ICO licenses/trademarks</t>
  </si>
  <si>
    <t>312503300_Result</t>
  </si>
  <si>
    <t>FX operational total</t>
  </si>
  <si>
    <t>312503311_Result</t>
  </si>
  <si>
    <t>FX - trading</t>
  </si>
  <si>
    <t>312503316_Result</t>
  </si>
  <si>
    <t>FX operational hedging internal</t>
  </si>
  <si>
    <t>312503321_Result</t>
  </si>
  <si>
    <t>FX operational hedging external</t>
  </si>
  <si>
    <t>312503400_Result</t>
  </si>
  <si>
    <t>PPE disposal</t>
  </si>
  <si>
    <t>312503421_Result</t>
  </si>
  <si>
    <t>PPE scrap expenses</t>
  </si>
  <si>
    <t>312503425_Result</t>
  </si>
  <si>
    <t>PPE disposal int.</t>
  </si>
  <si>
    <t>312503426_Result</t>
  </si>
  <si>
    <t>PPE RoU disp. int.</t>
  </si>
  <si>
    <t>312503427_Result</t>
  </si>
  <si>
    <t>PPE disp. re.pa.loss</t>
  </si>
  <si>
    <t>312503429_Result</t>
  </si>
  <si>
    <t>PPE disp. re.pa.gain</t>
  </si>
  <si>
    <t>312503430_Result</t>
  </si>
  <si>
    <t>PPE RoU disp.rp.gain</t>
  </si>
  <si>
    <t>312503431_Result</t>
  </si>
  <si>
    <t>PPE disp.ext. losses</t>
  </si>
  <si>
    <t>312503432_Result</t>
  </si>
  <si>
    <t>PPE RoU dis.ext.loss</t>
  </si>
  <si>
    <t>312503433_Result</t>
  </si>
  <si>
    <t>PPE disp. ext. gains</t>
  </si>
  <si>
    <t>312503434_Result</t>
  </si>
  <si>
    <t>PPE RoU dis.ext.gain</t>
  </si>
  <si>
    <t>312504000_Result</t>
  </si>
  <si>
    <t>Equalization prior year total</t>
  </si>
  <si>
    <t>312504500_Result</t>
  </si>
  <si>
    <t>Equalization prior year ICO</t>
  </si>
  <si>
    <t>312504310_Result</t>
  </si>
  <si>
    <t>Equalization prior year related parties - expense</t>
  </si>
  <si>
    <t>312504320_Result</t>
  </si>
  <si>
    <t>Equalization prior year related parties - income</t>
  </si>
  <si>
    <t>312505100_Result</t>
  </si>
  <si>
    <t>Recalls &amp; other specific warranty</t>
  </si>
  <si>
    <t>312505600_Result</t>
  </si>
  <si>
    <t>Litigations: product liability, patents &amp; other</t>
  </si>
  <si>
    <t>312506100_Result</t>
  </si>
  <si>
    <t>Environmental reserves</t>
  </si>
  <si>
    <t>312506600_Result</t>
  </si>
  <si>
    <t>Impairment</t>
  </si>
  <si>
    <t>312506800_Result</t>
  </si>
  <si>
    <t>Other non income taxes and charges</t>
  </si>
  <si>
    <t>312507000_Result</t>
  </si>
  <si>
    <t>Other operational income and expenses</t>
  </si>
  <si>
    <t>312507600_Result</t>
  </si>
  <si>
    <t>Other operational expenses - external</t>
  </si>
  <si>
    <t>312507700_Result</t>
  </si>
  <si>
    <t>Other operational expenses - internal</t>
  </si>
  <si>
    <t>312507800_Result</t>
  </si>
  <si>
    <t>Other operational expenses - related parties</t>
  </si>
  <si>
    <t>312508100_Result</t>
  </si>
  <si>
    <t>Other operational income - external</t>
  </si>
  <si>
    <t>312508200_Result</t>
  </si>
  <si>
    <t>Other operational income - internal</t>
  </si>
  <si>
    <t>312508300_Result</t>
  </si>
  <si>
    <t>Other operational income - related parties</t>
  </si>
  <si>
    <t>314000000_Result</t>
  </si>
  <si>
    <t>External income from subsidiaries &amp; affiliated companies</t>
  </si>
  <si>
    <t>314001600_Result</t>
  </si>
  <si>
    <t>Proportion. share in earn. in/imp. on equity acc. investees</t>
  </si>
  <si>
    <t>303000000_Result</t>
  </si>
  <si>
    <t>Net operating profit</t>
  </si>
  <si>
    <t>315000000_Result</t>
  </si>
  <si>
    <t>Non-operating income/expenses</t>
  </si>
  <si>
    <t>315001100_Result</t>
  </si>
  <si>
    <t>Goodwill impairment</t>
  </si>
  <si>
    <t>315001600_Result</t>
  </si>
  <si>
    <t>315002100_Result</t>
  </si>
  <si>
    <t>Disinvestment internal</t>
  </si>
  <si>
    <t>315002500_Result</t>
  </si>
  <si>
    <t>Disinvestment to related party</t>
  </si>
  <si>
    <t>315002600_Result</t>
  </si>
  <si>
    <t>Disinvestment external</t>
  </si>
  <si>
    <t>315002610_Result</t>
  </si>
  <si>
    <t>Cost of disp. (HFS)</t>
  </si>
  <si>
    <t>315002620_Result</t>
  </si>
  <si>
    <t>Impair disp group</t>
  </si>
  <si>
    <t>315003600_Result</t>
  </si>
  <si>
    <t>Other non-operating income/expenses</t>
  </si>
  <si>
    <t>315004100_Result</t>
  </si>
  <si>
    <t>Service mark-up ICO</t>
  </si>
  <si>
    <t>315004200_Result</t>
  </si>
  <si>
    <t>Service mark-up related parties - expenses</t>
  </si>
  <si>
    <t>315004300_Result</t>
  </si>
  <si>
    <t>Service mark-up related parties - income</t>
  </si>
  <si>
    <t>302500000_Result</t>
  </si>
  <si>
    <t>Earnings before interest and tax (EBIT)</t>
  </si>
  <si>
    <t>Year-2</t>
  </si>
  <si>
    <t>Plan-1</t>
  </si>
  <si>
    <t>Plan</t>
  </si>
  <si>
    <t>131100000_Result</t>
  </si>
  <si>
    <t>131111000_Result</t>
  </si>
  <si>
    <t>Raw Materials</t>
  </si>
  <si>
    <t>131116000_Result</t>
  </si>
  <si>
    <t>Work in Progress</t>
  </si>
  <si>
    <t>131118000_Result</t>
  </si>
  <si>
    <t>WiP - appl. eng.</t>
  </si>
  <si>
    <t>131121000_Result</t>
  </si>
  <si>
    <t>Fin goods &amp; merch</t>
  </si>
  <si>
    <t>131600000_Result</t>
  </si>
  <si>
    <t>Trade A/R</t>
  </si>
  <si>
    <t>231100000_Result</t>
  </si>
  <si>
    <t>Trade acc. Payable</t>
  </si>
  <si>
    <t>Number of Employees Total</t>
  </si>
  <si>
    <t>CO-010101000_Result</t>
  </si>
  <si>
    <t>Employees var.</t>
  </si>
  <si>
    <t>CO-010106000_Result</t>
  </si>
  <si>
    <t>Employees fix</t>
  </si>
  <si>
    <t>CO-010101600_Result</t>
  </si>
  <si>
    <t>Leas. employees var.</t>
  </si>
  <si>
    <t>CO-010106600_Result</t>
  </si>
  <si>
    <t>Leas. employees fix</t>
  </si>
  <si>
    <t>CO-010101100_Result</t>
  </si>
  <si>
    <t>Own employees var.</t>
  </si>
  <si>
    <t>CO-010106100_Result</t>
  </si>
  <si>
    <t>Own employees fix</t>
  </si>
  <si>
    <t>CO-010604000_Result</t>
  </si>
  <si>
    <t>Working students</t>
  </si>
  <si>
    <t>CO-010601000_Result</t>
  </si>
  <si>
    <t>Apprentices</t>
  </si>
  <si>
    <t>CO-010100000_Result</t>
  </si>
  <si>
    <t>Employees total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</si>
  <si>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</si>
  <si>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</si>
  <si>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</si>
  <si>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</si>
  <si>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</si>
  <si>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</si>
  <si>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</si>
  <si>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</si>
  <si>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</si>
  <si>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</si>
  <si>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</si>
  <si>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</si>
  <si>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</si>
  <si>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</si>
  <si>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</si>
  <si>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Adv.to suppl.intang. (Capitalization)</t>
  </si>
  <si>
    <t>122612000_110</t>
  </si>
  <si>
    <t>Land (Capitalization)</t>
  </si>
  <si>
    <t>122142000_110</t>
  </si>
  <si>
    <t>Softw f int purp (Capitalization)</t>
  </si>
  <si>
    <t>122142000_115</t>
  </si>
  <si>
    <t>Softw f int purp (Invest.grants)</t>
  </si>
  <si>
    <t>122617100_110</t>
  </si>
  <si>
    <t>Buildings&amp;land right (Capitalization)</t>
  </si>
  <si>
    <t>122622000_110</t>
  </si>
  <si>
    <t>Techn.equip.&amp;machin. (Capitalization)</t>
  </si>
  <si>
    <t>122622000_115</t>
  </si>
  <si>
    <t>Techn.equip.&amp;machin. (Invest.grants)</t>
  </si>
  <si>
    <t>122622000_117</t>
  </si>
  <si>
    <t>Techn.equip.&amp;machin. (Cap. spare parts)</t>
  </si>
  <si>
    <t>122627000_110</t>
  </si>
  <si>
    <t>Other equipment (Capitalization)</t>
  </si>
  <si>
    <t>122627000_115</t>
  </si>
  <si>
    <t>Other equipment (Invest.grants)</t>
  </si>
  <si>
    <t>122632000_110</t>
  </si>
  <si>
    <t>AuC/Advances (Capitalization)</t>
  </si>
  <si>
    <t>122637000_110</t>
  </si>
  <si>
    <t>Molds/cont./tooling (Capitalization)</t>
  </si>
  <si>
    <t>RACE
↓</t>
  </si>
  <si>
    <t>Plan 1</t>
  </si>
  <si>
    <t>Plan 2</t>
  </si>
  <si>
    <t>Plan 3</t>
  </si>
  <si>
    <t>Plan 4</t>
  </si>
  <si>
    <t>Plan 5</t>
  </si>
  <si>
    <t>Plan 6</t>
  </si>
  <si>
    <t>Plan 7</t>
  </si>
  <si>
    <t>Plan 8</t>
  </si>
  <si>
    <t>Plan 9</t>
  </si>
  <si>
    <t>Plan 10</t>
  </si>
  <si>
    <t>Plan 11</t>
  </si>
  <si>
    <t>Plan 12</t>
  </si>
  <si>
    <t>Total</t>
  </si>
  <si>
    <t>check</t>
  </si>
  <si>
    <t>Financial Statement Item</t>
  </si>
  <si>
    <t>MoveType</t>
  </si>
  <si>
    <t>Actual 2021</t>
  </si>
  <si>
    <t>Actual 2022</t>
  </si>
  <si>
    <t>YTD Act Jun 2023</t>
  </si>
  <si>
    <t>Plan 2023</t>
  </si>
  <si>
    <t>FC 2023 6+6</t>
  </si>
  <si>
    <t>FC 2023 7+5</t>
  </si>
  <si>
    <t>Plan 2024</t>
  </si>
  <si>
    <t>Expected Layout:</t>
  </si>
  <si>
    <t>122100000</t>
  </si>
  <si>
    <t>Other intang. assets</t>
  </si>
  <si>
    <t>100</t>
  </si>
  <si>
    <t>OB</t>
  </si>
  <si>
    <t>110</t>
  </si>
  <si>
    <t>Capitalization</t>
  </si>
  <si>
    <t>120</t>
  </si>
  <si>
    <t>Disposals</t>
  </si>
  <si>
    <t>160</t>
  </si>
  <si>
    <t>CTA</t>
  </si>
  <si>
    <t>200</t>
  </si>
  <si>
    <t>210</t>
  </si>
  <si>
    <t>Depr./amortiz.</t>
  </si>
  <si>
    <t>220</t>
  </si>
  <si>
    <t>Disposals depr.</t>
  </si>
  <si>
    <t>260</t>
  </si>
  <si>
    <t>Result</t>
  </si>
  <si>
    <t>122137000</t>
  </si>
  <si>
    <t>Adv.to suppl.intang.</t>
  </si>
  <si>
    <t>122142000</t>
  </si>
  <si>
    <t>Softw f int purp</t>
  </si>
  <si>
    <t>122600000</t>
  </si>
  <si>
    <t>PP&amp;E</t>
  </si>
  <si>
    <t>122</t>
  </si>
  <si>
    <t>Scrap</t>
  </si>
  <si>
    <t>130</t>
  </si>
  <si>
    <t>Transf. btw. items</t>
  </si>
  <si>
    <t>135</t>
  </si>
  <si>
    <t>Transf. btw. outlets</t>
  </si>
  <si>
    <t>211</t>
  </si>
  <si>
    <t>Depr. of tools</t>
  </si>
  <si>
    <t>222</t>
  </si>
  <si>
    <t>Scrap depr.</t>
  </si>
  <si>
    <t>235</t>
  </si>
  <si>
    <t>Transf.btw.outl depr</t>
  </si>
  <si>
    <t>122612000</t>
  </si>
  <si>
    <t>Land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</si>
  <si>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</si>
  <si>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</si>
  <si>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</si>
  <si>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</si>
  <si>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</si>
  <si>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</si>
  <si>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</si>
  <si>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</si>
  <si>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</si>
  <si>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</si>
  <si>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</si>
  <si>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</si>
  <si>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</si>
  <si>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</si>
  <si>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</si>
  <si>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</si>
  <si>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131100000</t>
  </si>
  <si>
    <t>300</t>
  </si>
  <si>
    <t>310</t>
  </si>
  <si>
    <t>Movements</t>
  </si>
  <si>
    <t>360</t>
  </si>
  <si>
    <t>400</t>
  </si>
  <si>
    <t>410</t>
  </si>
  <si>
    <t>Allowance movements</t>
  </si>
  <si>
    <t>440</t>
  </si>
  <si>
    <t>Transf.btw.outl all.</t>
  </si>
  <si>
    <t>460</t>
  </si>
  <si>
    <t>131111000</t>
  </si>
  <si>
    <t>Raw materials</t>
  </si>
  <si>
    <t>131111100</t>
  </si>
  <si>
    <t>Raw mat.-3rd parties</t>
  </si>
  <si>
    <t>131116000</t>
  </si>
  <si>
    <t>Work in progress</t>
  </si>
  <si>
    <t>131121000</t>
  </si>
  <si>
    <t>131121100</t>
  </si>
  <si>
    <t>Manufactured goods</t>
  </si>
  <si>
    <t>131121300</t>
  </si>
  <si>
    <t>Merchand. - 3rd part</t>
  </si>
  <si>
    <t>131600000</t>
  </si>
  <si>
    <t>430</t>
  </si>
  <si>
    <t>Add. to allowance</t>
  </si>
  <si>
    <t>435</t>
  </si>
  <si>
    <t>Rev. of allowance</t>
  </si>
  <si>
    <t>131611000</t>
  </si>
  <si>
    <t>Tr A/R 3rd inc doubt</t>
  </si>
  <si>
    <t>131611110</t>
  </si>
  <si>
    <t>131611500</t>
  </si>
  <si>
    <t>Other amounts rec.</t>
  </si>
  <si>
    <t>131611900</t>
  </si>
  <si>
    <t>A/R rel. part. op.</t>
  </si>
  <si>
    <t>231100000</t>
  </si>
  <si>
    <t>Trade acc. payable</t>
  </si>
  <si>
    <t>700</t>
  </si>
  <si>
    <t>710</t>
  </si>
  <si>
    <t>740</t>
  </si>
  <si>
    <t>760</t>
  </si>
  <si>
    <t>231111000</t>
  </si>
  <si>
    <t>Tr A/P 3rd-prod. mat</t>
  </si>
  <si>
    <t>231116000</t>
  </si>
  <si>
    <t>Tr A/P 3rd-nonprod.</t>
  </si>
  <si>
    <t>231117000</t>
  </si>
  <si>
    <t>A/P rel. part. op.</t>
  </si>
  <si>
    <t>231121000</t>
  </si>
  <si>
    <t>Goods/Invoice receiv</t>
  </si>
  <si>
    <t>302500000</t>
  </si>
  <si>
    <t>#</t>
  </si>
  <si>
    <t>Not assigned</t>
  </si>
  <si>
    <t>303000000</t>
  </si>
  <si>
    <t>NOP</t>
  </si>
  <si>
    <t>303500000</t>
  </si>
  <si>
    <t>304000000</t>
  </si>
  <si>
    <t>MC after variations</t>
  </si>
  <si>
    <t>304500000</t>
  </si>
  <si>
    <t>305000000</t>
  </si>
  <si>
    <t>305001700</t>
  </si>
  <si>
    <t>Net sales rel. par.</t>
  </si>
  <si>
    <t>305002100</t>
  </si>
  <si>
    <t>305500000</t>
  </si>
  <si>
    <t>305502200</t>
  </si>
  <si>
    <t>Equalization ICO</t>
  </si>
  <si>
    <t>306000000</t>
  </si>
  <si>
    <t>306500000</t>
  </si>
  <si>
    <t>Var costs over stand</t>
  </si>
  <si>
    <t>306501600</t>
  </si>
  <si>
    <t>Var. manuf. costs</t>
  </si>
  <si>
    <t>307000000</t>
  </si>
  <si>
    <t>Other var. costs</t>
  </si>
  <si>
    <t>307001600</t>
  </si>
  <si>
    <t>307002100</t>
  </si>
  <si>
    <t>307500000</t>
  </si>
  <si>
    <t>308000000</t>
  </si>
  <si>
    <t>Var.to raw mat total</t>
  </si>
  <si>
    <t>308001200</t>
  </si>
  <si>
    <t>Var.to raw mat price</t>
  </si>
  <si>
    <t>308001210</t>
  </si>
  <si>
    <t>Material Price Var</t>
  </si>
  <si>
    <t>308001250</t>
  </si>
  <si>
    <t>FX Material</t>
  </si>
  <si>
    <t>308001600</t>
  </si>
  <si>
    <t>Inv.val.allo RM&amp;supp</t>
  </si>
  <si>
    <t>308002100</t>
  </si>
  <si>
    <t>Inv.var.(RM&amp;supp)</t>
  </si>
  <si>
    <t>308500000</t>
  </si>
  <si>
    <t>Var. in manuf. tot</t>
  </si>
  <si>
    <t>309500000</t>
  </si>
  <si>
    <t>Var.to mfg oth. tot</t>
  </si>
  <si>
    <t>309501110</t>
  </si>
  <si>
    <t>Var.to mfg oth.inp.</t>
  </si>
  <si>
    <t>309501120</t>
  </si>
  <si>
    <t>309501610</t>
  </si>
  <si>
    <t>Var.in Pr.Labor dep.</t>
  </si>
  <si>
    <t>309501620</t>
  </si>
  <si>
    <t>Var.in Pro.Machine d</t>
  </si>
  <si>
    <t>309501630</t>
  </si>
  <si>
    <t>Var.act to std.prod.</t>
  </si>
  <si>
    <t>309501640</t>
  </si>
  <si>
    <t>Var.Inbound freight</t>
  </si>
  <si>
    <t>309501650</t>
  </si>
  <si>
    <t>Var. ICO Cus. &amp; Duty</t>
  </si>
  <si>
    <t>309502100</t>
  </si>
  <si>
    <t>Var.to lab.C.T.incr.</t>
  </si>
  <si>
    <t>309503100</t>
  </si>
  <si>
    <t>Var.rew/spoil/scrap</t>
  </si>
  <si>
    <t>309503600</t>
  </si>
  <si>
    <t>Var. material usage</t>
  </si>
  <si>
    <t>309504100</t>
  </si>
  <si>
    <t>Var.due t.startUp C</t>
  </si>
  <si>
    <t>310000000</t>
  </si>
  <si>
    <t>Other cost var. tot</t>
  </si>
  <si>
    <t>310003100</t>
  </si>
  <si>
    <t>R&amp;A and gen.warr.</t>
  </si>
  <si>
    <t>310003600</t>
  </si>
  <si>
    <t>Var. to handling</t>
  </si>
  <si>
    <t>310004100</t>
  </si>
  <si>
    <t>Var. to freight</t>
  </si>
  <si>
    <t>310006600</t>
  </si>
  <si>
    <t>Other cost var.</t>
  </si>
  <si>
    <t>310500000</t>
  </si>
  <si>
    <t>Prod.&amp;mat.mgmt.exp.</t>
  </si>
  <si>
    <t>310501100</t>
  </si>
  <si>
    <t>310501600</t>
  </si>
  <si>
    <t>PE mat. management</t>
  </si>
  <si>
    <t>310502100</t>
  </si>
  <si>
    <t>PE plant admin.</t>
  </si>
  <si>
    <t>310503100</t>
  </si>
  <si>
    <t>311000000</t>
  </si>
  <si>
    <t>Gross margin adj.</t>
  </si>
  <si>
    <t>311001600</t>
  </si>
  <si>
    <t>Inv.val.allow.fin.g.</t>
  </si>
  <si>
    <t>311001700</t>
  </si>
  <si>
    <t>311500000</t>
  </si>
  <si>
    <t>311503100</t>
  </si>
  <si>
    <t>R,D&amp;E alloc. in</t>
  </si>
  <si>
    <t>311504100</t>
  </si>
  <si>
    <t>312000000</t>
  </si>
  <si>
    <t>Sales&amp;distrib.exp.</t>
  </si>
  <si>
    <t>312001100</t>
  </si>
  <si>
    <t>312001600</t>
  </si>
  <si>
    <t>312002100</t>
  </si>
  <si>
    <t>312200000</t>
  </si>
  <si>
    <t>F,G and A expenses</t>
  </si>
  <si>
    <t>312201100</t>
  </si>
  <si>
    <t>F,G&amp;A expenses</t>
  </si>
  <si>
    <t>312500000</t>
  </si>
  <si>
    <t>Oth.op. inc./exp.tot</t>
  </si>
  <si>
    <t>312501600</t>
  </si>
  <si>
    <t>Prov.f.dbtful acc.</t>
  </si>
  <si>
    <t>312503300</t>
  </si>
  <si>
    <t>FX op. total</t>
  </si>
  <si>
    <t>312503311</t>
  </si>
  <si>
    <t>312503400</t>
  </si>
  <si>
    <t>312503433</t>
  </si>
  <si>
    <t>312503434</t>
  </si>
  <si>
    <t>312504000</t>
  </si>
  <si>
    <t>Equal. PY total</t>
  </si>
  <si>
    <t>312504500</t>
  </si>
  <si>
    <t>Equalization PY ICO</t>
  </si>
  <si>
    <t>312507000</t>
  </si>
  <si>
    <t>Other op. inc./ exp.</t>
  </si>
  <si>
    <t>312507600</t>
  </si>
  <si>
    <t>Other op. exp. ext.</t>
  </si>
  <si>
    <t>312508100</t>
  </si>
  <si>
    <t>Other op. inc. ext.</t>
  </si>
  <si>
    <t>312508300</t>
  </si>
  <si>
    <t>Oth. op. inc. re.pa.</t>
  </si>
  <si>
    <t>CO-010000000</t>
  </si>
  <si>
    <t>HR-reporting items</t>
  </si>
  <si>
    <t>CO-010100000</t>
  </si>
  <si>
    <t>CO-010101000</t>
  </si>
  <si>
    <t>CO-010101100</t>
  </si>
  <si>
    <t>CO-010106000</t>
  </si>
  <si>
    <t>CO-010106100</t>
  </si>
  <si>
    <t>CO-210000000</t>
  </si>
  <si>
    <t>CTL Upload</t>
  </si>
  <si>
    <t>CO-210000329</t>
  </si>
  <si>
    <t>CO-210000326</t>
  </si>
  <si>
    <t>Rel. proj. expe. RPE</t>
  </si>
  <si>
    <t>CO-210000325</t>
  </si>
  <si>
    <t>Prod.Val./Req af.G60</t>
  </si>
  <si>
    <t>CO-210000323</t>
  </si>
  <si>
    <t>PMME Dep.w/o intang</t>
  </si>
  <si>
    <t>CO-210000321</t>
  </si>
  <si>
    <t>Maintenance E01-320</t>
  </si>
  <si>
    <t>CO-210000320</t>
  </si>
  <si>
    <t>Comp. (E01-299)</t>
  </si>
  <si>
    <t>CO-210000313</t>
  </si>
  <si>
    <t>Assessment from FF</t>
  </si>
  <si>
    <t>CO-210000312</t>
  </si>
  <si>
    <t>Ass. f. Central Func</t>
  </si>
  <si>
    <t>CO-210000311</t>
  </si>
  <si>
    <t>NSHS Services</t>
  </si>
  <si>
    <t>CO-210000310</t>
  </si>
  <si>
    <t>NSHS Allocations</t>
  </si>
  <si>
    <t>CO-210000210</t>
  </si>
  <si>
    <t>EBIT volume</t>
  </si>
  <si>
    <t>CO-210000211</t>
  </si>
  <si>
    <t>EBIT mix</t>
  </si>
  <si>
    <t>CO-210000114</t>
  </si>
  <si>
    <t>Sales Price FX Trans</t>
  </si>
  <si>
    <t>CO-210000113</t>
  </si>
  <si>
    <t>Sales Price - Other</t>
  </si>
  <si>
    <t>CO-210000112</t>
  </si>
  <si>
    <t>Sales Price incr./de</t>
  </si>
  <si>
    <t>CO-210000110</t>
  </si>
  <si>
    <t>Sales Volume</t>
  </si>
  <si>
    <t>Posting period</t>
  </si>
  <si>
    <t>000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</si>
  <si>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</si>
  <si>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</si>
  <si>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</si>
  <si>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</si>
  <si>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</si>
  <si>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</si>
  <si>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</si>
  <si>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</si>
  <si>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</si>
  <si>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</si>
  <si>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Plant Number</t>
  </si>
  <si>
    <t>BU Number</t>
  </si>
  <si>
    <t>BU Name</t>
  </si>
  <si>
    <t>Outlet Number</t>
  </si>
  <si>
    <t>Outlet Name</t>
  </si>
  <si>
    <t>Sheet</t>
  </si>
  <si>
    <t>Key Figure</t>
  </si>
  <si>
    <t>Budget 2023</t>
  </si>
  <si>
    <t>FC 7+5 Special Effects</t>
  </si>
  <si>
    <t>FC 7+5 w/o Special Effects</t>
  </si>
  <si>
    <t>Target 2024</t>
  </si>
  <si>
    <t>Product Mix</t>
  </si>
  <si>
    <t>Price Effects</t>
  </si>
  <si>
    <t>Costimprovement</t>
  </si>
  <si>
    <t>All Others</t>
  </si>
  <si>
    <t xml:space="preserve">January </t>
  </si>
  <si>
    <t>R&amp;O Sales</t>
  </si>
  <si>
    <t>R&amp;O EBIT</t>
  </si>
  <si>
    <t>R&amp;O WC EOP</t>
  </si>
  <si>
    <t>Structual Change HC</t>
  </si>
  <si>
    <t>Structual Change Cost</t>
  </si>
  <si>
    <t>Area</t>
  </si>
  <si>
    <t>Key</t>
  </si>
  <si>
    <t>Version</t>
  </si>
  <si>
    <t>1.1 Structual Changes</t>
  </si>
  <si>
    <t>SMD Pool centralization</t>
  </si>
  <si>
    <t>2. Variable</t>
  </si>
  <si>
    <t xml:space="preserve">   thereof Standard material incl. Subcontr./Cash discount (w/o ICO)</t>
  </si>
  <si>
    <t>ICO cost (Purchases) incl. Value add sender</t>
  </si>
  <si>
    <t>Variable Labour cost (Production)</t>
  </si>
  <si>
    <t>Variable Labour cost (MGK/VK)</t>
  </si>
  <si>
    <t>Labour cost charge in/out from other PL</t>
  </si>
  <si>
    <t>V1</t>
  </si>
  <si>
    <t xml:space="preserve">   thereof variable maintenance  (w/o labour cost)</t>
  </si>
  <si>
    <t xml:space="preserve">   thereof utility</t>
  </si>
  <si>
    <t>3. Scrap</t>
  </si>
  <si>
    <t>Total - Variations rework/spoilage/scrap (Scrap)</t>
  </si>
  <si>
    <t>Total - Sales (Scrap)</t>
  </si>
  <si>
    <t>Start-up - Area 1 - Variations rework/spoilage/scrap</t>
  </si>
  <si>
    <t>Start-up - Area 1 - Start-up (only scrap-related)</t>
  </si>
  <si>
    <t>Start-up - Area 1 - Sales</t>
  </si>
  <si>
    <t>Start-up - Area 2 - Variations rework/spoilage/scrap</t>
  </si>
  <si>
    <t>Start-up - Area 2 - Start-up (only scrap-related)</t>
  </si>
  <si>
    <t>Start-up - Area 2 - Sales</t>
  </si>
  <si>
    <t>Start-up - Area 3 - Variations rework/spoilage/scrap</t>
  </si>
  <si>
    <t>Start-up - Area 3 - Start-up (only scrap-related)</t>
  </si>
  <si>
    <t>Start-up - Area 3 - Sales</t>
  </si>
  <si>
    <t>Start-up - All Other - Variations rework/spoilage/scrap</t>
  </si>
  <si>
    <t>Start-up - All Other - Start-up (only scrap-related)</t>
  </si>
  <si>
    <t>Start-up - All Other - Sales</t>
  </si>
  <si>
    <t>Total - Start-up</t>
  </si>
  <si>
    <t>Total - Sales (Start-up)</t>
  </si>
  <si>
    <t>4. Fix Cost</t>
  </si>
  <si>
    <t>5. Logistics Cost</t>
  </si>
  <si>
    <t>5.1 Inventory</t>
  </si>
  <si>
    <t>6. HC</t>
  </si>
  <si>
    <t>YE Sales</t>
  </si>
  <si>
    <t>HC YE var - Manufacturing operators</t>
  </si>
  <si>
    <t>HC YE var - Manufacturing auxiliary heads</t>
  </si>
  <si>
    <t>HC YE var - Material Management</t>
  </si>
  <si>
    <t>HC YE var - Sales &amp; Distribution</t>
  </si>
  <si>
    <t>HC YE var - Total variable</t>
  </si>
  <si>
    <t>HC YE fix - Production</t>
  </si>
  <si>
    <t>HC YE fix - Material Management</t>
  </si>
  <si>
    <t>HC YE fix - Plant Administration</t>
  </si>
  <si>
    <t>HC YE fix - Sales &amp; Distribution</t>
  </si>
  <si>
    <t>HC YE - R, D &amp; E Expenses</t>
  </si>
  <si>
    <t>HC YE fix - Central Management MGK/FGK/VK/FG&amp;A</t>
  </si>
  <si>
    <t>HC YE fix - Total fix</t>
  </si>
  <si>
    <t>HC YE - Total employees (own and leasing)</t>
  </si>
  <si>
    <t>HC YE - Total Central Functions (assessed) Variable</t>
  </si>
  <si>
    <t>HC YE - Total Central Functions (assessed) Fix</t>
  </si>
  <si>
    <t>HC YE - RACE variable</t>
  </si>
  <si>
    <t>HC YE - RACE fix</t>
  </si>
  <si>
    <t>Avg Sales</t>
  </si>
  <si>
    <t>HC Avg var - Manufacturing operators</t>
  </si>
  <si>
    <t>HC Avg var - Manufacturing auxiliary heads</t>
  </si>
  <si>
    <t>HC Avg var - Material Management</t>
  </si>
  <si>
    <t>HC Avg var - Sales &amp; Distribution</t>
  </si>
  <si>
    <t>HC Avg var - Total variable</t>
  </si>
  <si>
    <t>HC Avg fix - Production</t>
  </si>
  <si>
    <t>HC Avg fix - Material Management</t>
  </si>
  <si>
    <t>HC Avg fix - Plant Administration</t>
  </si>
  <si>
    <t>HC Avg fix - Sales &amp; Distribution</t>
  </si>
  <si>
    <t>HC Avg - R, D &amp; E Expenses</t>
  </si>
  <si>
    <t>HC Avg fix - Central Management MGK/FGK/VK/FG&amp;A</t>
  </si>
  <si>
    <t>HC Avg fix - Total fix</t>
  </si>
  <si>
    <t>HC Avg - Total emploAvges (own and leasing)</t>
  </si>
  <si>
    <t>HC Avg - Total Central Functions (assessed) Variable</t>
  </si>
  <si>
    <t>HC Avg - Total Central Functions (assessed) Fix</t>
  </si>
  <si>
    <t>HC Avg - RACE variable</t>
  </si>
  <si>
    <t>HC Avg - RACE fix</t>
  </si>
  <si>
    <t>Compensation average Fix per Employee (Manual)</t>
  </si>
  <si>
    <t>7. BS Key Figures</t>
  </si>
  <si>
    <t>8. Volumes</t>
  </si>
  <si>
    <t>Product Group 1</t>
  </si>
  <si>
    <t>Product Group 2</t>
  </si>
  <si>
    <t>Product Group 3</t>
  </si>
  <si>
    <t>Product Group 4</t>
  </si>
  <si>
    <t>Product Group 5</t>
  </si>
  <si>
    <t>Product Group 6</t>
  </si>
  <si>
    <t>Product Group 7</t>
  </si>
  <si>
    <t>Product Group 8</t>
  </si>
  <si>
    <t>Product Group 9</t>
  </si>
  <si>
    <t>Product Group 10</t>
  </si>
  <si>
    <t>Product Group 11</t>
  </si>
  <si>
    <t>Deviation to Modias 1</t>
  </si>
  <si>
    <t>Deviation to Modias 2</t>
  </si>
  <si>
    <t>Deviation to Modias 3</t>
  </si>
  <si>
    <t>Deviation to Modias 4</t>
  </si>
  <si>
    <t>Deviation to Modias 5</t>
  </si>
  <si>
    <t>11. R&amp;O</t>
  </si>
  <si>
    <t>Risk 1</t>
  </si>
  <si>
    <t>Opportunity 1</t>
  </si>
  <si>
    <t>Opportunity 2</t>
  </si>
  <si>
    <t>Opportunity 3</t>
  </si>
  <si>
    <t>Opportunity 4</t>
  </si>
  <si>
    <t>Contribution Margin after variations 34.1%</t>
  </si>
  <si>
    <t>Operator HC increase by 1, Technician HC increase by 2(compared to YearEnd 2023)</t>
  </si>
  <si>
    <t>EBIT 8.6%</t>
  </si>
  <si>
    <t>CO-210000322</t>
  </si>
  <si>
    <t>PMME Dep. int. asset</t>
  </si>
  <si>
    <t>Technician HC 2 increase impact &amp; General Maintenance cost increase impact</t>
  </si>
  <si>
    <t>Intangible asset(goodwill) trasferred from Sejong MES(219-7521)</t>
  </si>
  <si>
    <t>MES does not have assigned technicians. 2 Technicians who are dedicated to MES are necessary(OEE target is not met &amp; production is below capacity during 2023 due to the lack of technicians)</t>
  </si>
  <si>
    <t>122152000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</si>
</sst>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#,##0;\(#,##0\)"/>
    <numFmt numFmtId="167" formatCode="0.0%"/>
    <numFmt numFmtId="168" formatCode="#,##0.0"/>
    <numFmt numFmtId="169" formatCode="##0.0"/>
    <numFmt numFmtId="170" formatCode="#,##0_);\(#,##0\);0_)"/>
    <numFmt numFmtId="171" formatCode="###,000"/>
    <numFmt numFmtId="172" formatCode="&quot;         &quot;@"/>
    <numFmt numFmtId="173" formatCode="&quot;  [-] &quot;@"/>
    <numFmt numFmtId="174" formatCode="&quot;             &quot;@"/>
    <numFmt numFmtId="175" formatCode="&quot;      [-] &quot;@"/>
    <numFmt numFmtId="176" formatCode="&quot;           &quot;@"/>
    <numFmt numFmtId="177" formatCode="&quot;    [-] &quot;@"/>
    <numFmt numFmtId="178" formatCode="&quot;                   &quot;@"/>
    <numFmt numFmtId="179" formatCode="&quot;            [-] &quot;@"/>
    <numFmt numFmtId="180" formatCode="&quot;                     &quot;@"/>
    <numFmt numFmtId="181" formatCode="&quot;              [-] &quot;@"/>
    <numFmt numFmtId="182" formatCode="&quot;                 &quot;@"/>
    <numFmt numFmtId="183" formatCode="&quot;        [-] &quot;@"/>
    <numFmt numFmtId="184" formatCode="&quot;[-] &quot;@"/>
    <numFmt numFmtId="185" formatCode="&quot;       &quot;@"/>
    <numFmt numFmtId="186" formatCode="#,##0;\-#,##0;#,##0"/>
    <numFmt numFmtId="187" formatCode="0.000%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Calibri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Calibri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Calibri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8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1" fontId="37" fillId="0" borderId="68" applyNumberFormat="0" applyProtection="0">
      <alignment horizontal="right" vertical="center"/>
    </xf>
    <xf numFmtId="171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1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1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1" fontId="37" fillId="29" borderId="68" applyNumberFormat="0" applyProtection="0">
      <alignment horizontal="right" vertical="center"/>
    </xf>
    <xf numFmtId="171" fontId="37" fillId="30" borderId="68" applyNumberFormat="0" applyBorder="0">
      <alignment horizontal="right" vertical="center"/>
      <protection locked="0"/>
    </xf>
    <xf numFmtId="171" fontId="41" fillId="36" borderId="74" applyNumberFormat="0" applyBorder="0" applyAlignment="0" applyProtection="0">
      <alignment horizontal="right" vertical="center" indent="1"/>
    </xf>
    <xf numFmtId="171" fontId="42" fillId="37" borderId="74" applyNumberFormat="0" applyBorder="0" applyAlignment="0" applyProtection="0">
      <alignment horizontal="right" vertical="center" indent="1"/>
    </xf>
    <xf numFmtId="171" fontId="42" fillId="38" borderId="74" applyNumberFormat="0" applyBorder="0" applyAlignment="0" applyProtection="0">
      <alignment horizontal="right" vertical="center" indent="1"/>
    </xf>
    <xf numFmtId="171" fontId="43" fillId="39" borderId="74" applyNumberFormat="0" applyBorder="0" applyAlignment="0" applyProtection="0">
      <alignment horizontal="right" vertical="center" indent="1"/>
    </xf>
    <xf numFmtId="171" fontId="43" fillId="40" borderId="74" applyNumberFormat="0" applyBorder="0" applyAlignment="0" applyProtection="0">
      <alignment horizontal="right" vertical="center" indent="1"/>
    </xf>
    <xf numFmtId="171" fontId="43" fillId="41" borderId="74" applyNumberFormat="0" applyBorder="0" applyAlignment="0" applyProtection="0">
      <alignment horizontal="right" vertical="center" indent="1"/>
    </xf>
    <xf numFmtId="171" fontId="44" fillId="42" borderId="74" applyNumberFormat="0" applyBorder="0" applyAlignment="0" applyProtection="0">
      <alignment horizontal="right" vertical="center" indent="1"/>
    </xf>
    <xf numFmtId="171" fontId="44" fillId="43" borderId="74" applyNumberFormat="0" applyBorder="0" applyAlignment="0" applyProtection="0">
      <alignment horizontal="right" vertical="center" indent="1"/>
    </xf>
    <xf numFmtId="171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1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71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1" fontId="49" fillId="29" borderId="68" applyNumberFormat="0" applyProtection="0">
      <alignment horizontal="right" vertical="center"/>
    </xf>
    <xf numFmtId="171" fontId="50" fillId="30" borderId="69" applyNumberFormat="0" applyBorder="0">
      <alignment horizontal="right" vertical="center"/>
      <protection locked="0"/>
    </xf>
    <xf numFmtId="171" fontId="49" fillId="30" borderId="68" applyNumberFormat="0" applyBorder="0">
      <alignment horizontal="right" vertical="center"/>
      <protection locked="0"/>
    </xf>
    <xf numFmtId="171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039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5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5" fontId="4" fillId="0" borderId="0" xfId="2" applyNumberFormat="1" applyFont="1" applyAlignment="1">
      <alignment horizontal="left" wrapText="1"/>
    </xf>
    <xf numFmtId="165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6" fontId="10" fillId="0" borderId="2" xfId="2" applyNumberFormat="1" applyFont="1" applyBorder="1" applyAlignment="1">
      <alignment horizontal="right"/>
    </xf>
    <xf numFmtId="166" fontId="10" fillId="0" borderId="3" xfId="2" applyNumberFormat="1" applyFont="1" applyBorder="1" applyAlignment="1">
      <alignment horizontal="right"/>
    </xf>
    <xf numFmtId="166" fontId="10" fillId="0" borderId="0" xfId="2" applyNumberFormat="1" applyFont="1" applyAlignment="1">
      <alignment horizontal="right"/>
    </xf>
    <xf numFmtId="166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5" fontId="5" fillId="0" borderId="2" xfId="2" applyNumberFormat="1" applyFont="1" applyBorder="1" applyAlignment="1">
      <alignment horizontal="center"/>
    </xf>
    <xf numFmtId="165" fontId="5" fillId="0" borderId="3" xfId="2" applyNumberFormat="1" applyFont="1" applyBorder="1" applyAlignment="1">
      <alignment horizontal="center"/>
    </xf>
    <xf numFmtId="165" fontId="5" fillId="0" borderId="0" xfId="2" applyNumberFormat="1" applyFont="1" applyAlignment="1">
      <alignment horizontal="center"/>
    </xf>
    <xf numFmtId="165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6" fontId="4" fillId="0" borderId="2" xfId="2" applyNumberFormat="1" applyFont="1" applyBorder="1" applyAlignment="1">
      <alignment horizontal="right"/>
    </xf>
    <xf numFmtId="166" fontId="4" fillId="0" borderId="3" xfId="2" applyNumberFormat="1" applyFont="1" applyBorder="1" applyAlignment="1">
      <alignment horizontal="right"/>
    </xf>
    <xf numFmtId="166" fontId="4" fillId="0" borderId="0" xfId="2" applyNumberFormat="1" applyFont="1" applyAlignment="1">
      <alignment horizontal="right"/>
    </xf>
    <xf numFmtId="166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7" fontId="4" fillId="7" borderId="0" xfId="11" applyNumberFormat="1" applyFont="1" applyFill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167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8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8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8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7" fontId="4" fillId="0" borderId="0" xfId="11" applyNumberFormat="1" applyFont="1" applyFill="1" applyBorder="1" applyAlignment="1">
      <alignment horizontal="center" vertical="center"/>
    </xf>
    <xf numFmtId="167" fontId="4" fillId="3" borderId="0" xfId="11" applyNumberFormat="1" applyFont="1" applyFill="1" applyBorder="1" applyAlignment="1">
      <alignment horizontal="center" vertical="center"/>
    </xf>
    <xf numFmtId="167" fontId="4" fillId="3" borderId="2" xfId="5" applyNumberFormat="1" applyFont="1" applyBorder="1" applyAlignment="1">
      <alignment horizontal="left" vertical="center"/>
    </xf>
    <xf numFmtId="167" fontId="4" fillId="3" borderId="3" xfId="11" applyNumberFormat="1" applyFont="1" applyFill="1" applyBorder="1" applyAlignment="1">
      <alignment horizontal="center" vertical="center"/>
    </xf>
    <xf numFmtId="168" fontId="4" fillId="0" borderId="2" xfId="5" applyNumberFormat="1" applyFont="1" applyFill="1" applyBorder="1" applyAlignment="1">
      <alignment horizontal="left" vertical="center"/>
    </xf>
    <xf numFmtId="167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8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7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7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7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7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7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7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7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8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7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7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7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7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7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7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7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7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7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7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8" fontId="12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7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7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7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7" fontId="12" fillId="11" borderId="0" xfId="16" applyNumberFormat="1" applyFont="1" applyFill="1" applyBorder="1" applyAlignment="1" applyProtection="1">
      <alignment horizontal="left" vertical="center"/>
      <protection locked="0"/>
    </xf>
    <xf numFmtId="167" fontId="12" fillId="11" borderId="0" xfId="16" applyNumberFormat="1" applyFont="1" applyFill="1" applyBorder="1" applyAlignment="1" applyProtection="1">
      <alignment horizontal="center" vertical="center"/>
      <protection locked="0"/>
    </xf>
    <xf numFmtId="167" fontId="12" fillId="11" borderId="20" xfId="16" applyNumberFormat="1" applyFont="1" applyFill="1" applyBorder="1" applyAlignment="1" applyProtection="1">
      <alignment horizontal="center" vertical="center"/>
      <protection locked="0"/>
    </xf>
    <xf numFmtId="167" fontId="12" fillId="11" borderId="21" xfId="16" applyNumberFormat="1" applyFont="1" applyFill="1" applyBorder="1" applyAlignment="1" applyProtection="1">
      <alignment horizontal="center" vertical="center"/>
      <protection locked="0"/>
    </xf>
    <xf numFmtId="167" fontId="12" fillId="11" borderId="4" xfId="16" applyNumberFormat="1" applyFont="1" applyFill="1" applyBorder="1" applyAlignment="1" applyProtection="1">
      <alignment horizontal="center" vertical="center"/>
      <protection locked="0"/>
    </xf>
    <xf numFmtId="167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7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7" fontId="11" fillId="3" borderId="21" xfId="16" applyNumberFormat="1" applyFont="1" applyFill="1" applyBorder="1" applyAlignment="1" applyProtection="1">
      <alignment horizontal="center" vertical="center"/>
      <protection locked="0"/>
    </xf>
    <xf numFmtId="167" fontId="11" fillId="3" borderId="4" xfId="16" applyNumberFormat="1" applyFont="1" applyFill="1" applyBorder="1" applyAlignment="1" applyProtection="1">
      <alignment horizontal="center" vertical="center"/>
      <protection locked="0"/>
    </xf>
    <xf numFmtId="167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7" fontId="10" fillId="0" borderId="20" xfId="16" applyNumberFormat="1" applyFont="1" applyBorder="1" applyAlignment="1" applyProtection="1">
      <alignment horizontal="center" vertical="center"/>
      <protection locked="0"/>
    </xf>
    <xf numFmtId="167" fontId="10" fillId="0" borderId="21" xfId="16" applyNumberFormat="1" applyFont="1" applyFill="1" applyBorder="1" applyAlignment="1" applyProtection="1">
      <alignment horizontal="center" vertical="center"/>
      <protection locked="0"/>
    </xf>
    <xf numFmtId="167" fontId="10" fillId="0" borderId="21" xfId="16" applyNumberFormat="1" applyFont="1" applyBorder="1" applyAlignment="1" applyProtection="1">
      <alignment horizontal="center" vertical="center"/>
      <protection locked="0"/>
    </xf>
    <xf numFmtId="167" fontId="10" fillId="0" borderId="4" xfId="16" applyNumberFormat="1" applyFont="1" applyBorder="1" applyAlignment="1" applyProtection="1">
      <alignment horizontal="center" vertical="center"/>
      <protection locked="0"/>
    </xf>
    <xf numFmtId="167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8" fontId="12" fillId="7" borderId="0" xfId="5" applyNumberFormat="1" applyFont="1" applyFill="1" applyAlignment="1">
      <alignment horizontal="center" vertical="center"/>
    </xf>
    <xf numFmtId="167" fontId="12" fillId="7" borderId="20" xfId="5" applyNumberFormat="1" applyFont="1" applyFill="1" applyBorder="1" applyAlignment="1">
      <alignment horizontal="center" vertical="center"/>
    </xf>
    <xf numFmtId="167" fontId="12" fillId="7" borderId="21" xfId="5" applyNumberFormat="1" applyFont="1" applyFill="1" applyBorder="1" applyAlignment="1">
      <alignment horizontal="center" vertical="center"/>
    </xf>
    <xf numFmtId="167" fontId="12" fillId="7" borderId="0" xfId="5" applyNumberFormat="1" applyFont="1" applyFill="1" applyAlignment="1">
      <alignment horizontal="center" vertical="center"/>
    </xf>
    <xf numFmtId="167" fontId="12" fillId="7" borderId="4" xfId="5" applyNumberFormat="1" applyFont="1" applyFill="1" applyBorder="1" applyAlignment="1">
      <alignment horizontal="center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7" fontId="4" fillId="0" borderId="0" xfId="16" applyNumberFormat="1" applyFont="1" applyBorder="1" applyAlignment="1" applyProtection="1">
      <alignment horizontal="center" vertical="center"/>
      <protection locked="0"/>
    </xf>
    <xf numFmtId="167" fontId="4" fillId="12" borderId="20" xfId="16" applyNumberFormat="1" applyFont="1" applyFill="1" applyBorder="1" applyAlignment="1" applyProtection="1">
      <alignment horizontal="center" vertical="center"/>
      <protection locked="0"/>
    </xf>
    <xf numFmtId="167" fontId="4" fillId="12" borderId="0" xfId="16" applyNumberFormat="1" applyFont="1" applyFill="1" applyBorder="1" applyAlignment="1" applyProtection="1">
      <alignment horizontal="center" vertical="center"/>
      <protection locked="0"/>
    </xf>
    <xf numFmtId="167" fontId="4" fillId="12" borderId="21" xfId="16" applyNumberFormat="1" applyFont="1" applyFill="1" applyBorder="1" applyAlignment="1" applyProtection="1">
      <alignment horizontal="center" vertical="center"/>
      <protection locked="0"/>
    </xf>
    <xf numFmtId="167" fontId="4" fillId="12" borderId="4" xfId="16" applyNumberFormat="1" applyFont="1" applyFill="1" applyBorder="1" applyAlignment="1" applyProtection="1">
      <alignment horizontal="center" vertical="center"/>
      <protection locked="0"/>
    </xf>
    <xf numFmtId="167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7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7" fontId="10" fillId="3" borderId="21" xfId="16" applyNumberFormat="1" applyFont="1" applyFill="1" applyBorder="1" applyAlignment="1" applyProtection="1">
      <alignment horizontal="center" vertical="center"/>
      <protection locked="0"/>
    </xf>
    <xf numFmtId="167" fontId="10" fillId="3" borderId="4" xfId="16" applyNumberFormat="1" applyFont="1" applyFill="1" applyBorder="1" applyAlignment="1" applyProtection="1">
      <alignment horizontal="center" vertical="center"/>
      <protection locked="0"/>
    </xf>
    <xf numFmtId="167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7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8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8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7" fontId="4" fillId="3" borderId="21" xfId="16" applyNumberFormat="1" applyFont="1" applyFill="1" applyBorder="1" applyAlignment="1" applyProtection="1">
      <alignment horizontal="center" vertical="center"/>
      <protection locked="0"/>
    </xf>
    <xf numFmtId="167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7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7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7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7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7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167" fontId="4" fillId="3" borderId="18" xfId="16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8" fontId="17" fillId="7" borderId="0" xfId="5" applyNumberFormat="1" applyFont="1" applyFill="1" applyAlignment="1">
      <alignment horizontal="left" vertical="center"/>
    </xf>
    <xf numFmtId="168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7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8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7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0" borderId="28" xfId="16" applyNumberFormat="1" applyFont="1" applyBorder="1" applyAlignment="1" applyProtection="1">
      <alignment horizontal="center" vertical="center"/>
      <protection locked="0"/>
    </xf>
    <xf numFmtId="169" fontId="17" fillId="0" borderId="21" xfId="15" applyNumberFormat="1" applyFont="1" applyBorder="1" applyAlignment="1">
      <alignment horizontal="left" vertical="center" indent="3"/>
    </xf>
    <xf numFmtId="169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12" applyNumberFormat="1" applyFont="1" applyFill="1" applyBorder="1" applyAlignment="1" applyProtection="1">
      <alignment horizontal="center" vertical="center"/>
      <protection locked="0"/>
    </xf>
    <xf numFmtId="168" fontId="17" fillId="0" borderId="21" xfId="23" applyFont="1" applyFill="1" applyBorder="1" applyAlignment="1">
      <alignment horizontal="left" vertical="center" indent="2"/>
    </xf>
    <xf numFmtId="168" fontId="17" fillId="0" borderId="0" xfId="12" applyNumberFormat="1" applyFont="1" applyFill="1" applyBorder="1" applyAlignment="1" applyProtection="1">
      <alignment horizontal="center" vertical="center"/>
      <protection locked="0"/>
    </xf>
    <xf numFmtId="168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7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7" fontId="10" fillId="3" borderId="20" xfId="16" applyNumberFormat="1" applyFont="1" applyFill="1" applyBorder="1" applyAlignment="1" applyProtection="1">
      <alignment horizontal="center" vertical="center"/>
      <protection locked="0"/>
    </xf>
    <xf numFmtId="167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7" fontId="12" fillId="7" borderId="31" xfId="16" applyNumberFormat="1" applyFont="1" applyFill="1" applyBorder="1" applyAlignment="1">
      <alignment horizontal="center" vertical="center"/>
    </xf>
    <xf numFmtId="168" fontId="12" fillId="7" borderId="32" xfId="5" applyNumberFormat="1" applyFont="1" applyFill="1" applyBorder="1" applyAlignment="1">
      <alignment horizontal="left" vertical="center"/>
    </xf>
    <xf numFmtId="167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7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7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7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70" fontId="17" fillId="5" borderId="3" xfId="26" applyNumberFormat="1" applyFont="1" applyFill="1" applyBorder="1"/>
    <xf numFmtId="170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70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70" fontId="12" fillId="14" borderId="3" xfId="26" applyNumberFormat="1" applyFont="1" applyFill="1" applyBorder="1"/>
    <xf numFmtId="170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7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70" fontId="17" fillId="3" borderId="3" xfId="26" applyNumberFormat="1" applyFont="1" applyFill="1" applyBorder="1"/>
    <xf numFmtId="170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70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183" fontId="39" fillId="29" borderId="72" xfId="41" quotePrefix="1" applyNumberFormat="1" applyBorder="1" applyAlignment="1"/>
    <xf numFmtId="174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7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7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68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8" fontId="17" fillId="0" borderId="28" xfId="12" applyNumberFormat="1" applyFont="1" applyFill="1" applyBorder="1" applyAlignment="1" applyProtection="1">
      <alignment horizontal="center" vertical="center"/>
      <protection locked="0"/>
    </xf>
    <xf numFmtId="168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7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8" fontId="17" fillId="9" borderId="28" xfId="12" applyNumberFormat="1" applyFont="1" applyBorder="1" applyAlignment="1" applyProtection="1">
      <alignment horizontal="center" vertical="center"/>
      <protection locked="0"/>
    </xf>
    <xf numFmtId="168" fontId="17" fillId="9" borderId="20" xfId="12" applyNumberFormat="1" applyFont="1" applyBorder="1" applyAlignment="1" applyProtection="1">
      <alignment horizontal="center" vertical="center"/>
      <protection locked="0"/>
    </xf>
    <xf numFmtId="168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8" fontId="10" fillId="0" borderId="28" xfId="12" applyNumberFormat="1" applyFont="1" applyFill="1" applyBorder="1" applyAlignment="1" applyProtection="1">
      <alignment horizontal="center" vertical="center"/>
      <protection locked="0"/>
    </xf>
    <xf numFmtId="168" fontId="10" fillId="0" borderId="20" xfId="12" applyNumberFormat="1" applyFont="1" applyFill="1" applyBorder="1" applyAlignment="1" applyProtection="1">
      <alignment horizontal="center" vertical="center"/>
      <protection locked="0"/>
    </xf>
    <xf numFmtId="168" fontId="10" fillId="0" borderId="21" xfId="12" applyNumberFormat="1" applyFont="1" applyFill="1" applyBorder="1" applyAlignment="1" applyProtection="1">
      <alignment horizontal="center" vertical="center"/>
      <protection locked="0"/>
    </xf>
    <xf numFmtId="168" fontId="10" fillId="21" borderId="0" xfId="12" applyNumberFormat="1" applyFont="1" applyFill="1" applyBorder="1" applyAlignment="1" applyProtection="1">
      <alignment horizontal="center" vertical="center"/>
      <protection locked="0"/>
    </xf>
    <xf numFmtId="168" fontId="10" fillId="0" borderId="0" xfId="12" applyNumberFormat="1" applyFont="1" applyFill="1" applyBorder="1" applyAlignment="1" applyProtection="1">
      <alignment horizontal="center" vertical="center"/>
      <protection locked="0"/>
    </xf>
    <xf numFmtId="168" fontId="10" fillId="3" borderId="21" xfId="12" applyNumberFormat="1" applyFont="1" applyFill="1" applyBorder="1" applyAlignment="1" applyProtection="1">
      <alignment horizontal="center" vertical="center"/>
      <protection locked="0"/>
    </xf>
    <xf numFmtId="168" fontId="10" fillId="15" borderId="28" xfId="12" applyNumberFormat="1" applyFont="1" applyFill="1" applyBorder="1" applyAlignment="1" applyProtection="1">
      <alignment horizontal="center" vertical="center"/>
      <protection locked="0"/>
    </xf>
    <xf numFmtId="168" fontId="10" fillId="15" borderId="20" xfId="12" applyNumberFormat="1" applyFont="1" applyFill="1" applyBorder="1" applyAlignment="1" applyProtection="1">
      <alignment horizontal="center" vertical="center"/>
      <protection locked="0"/>
    </xf>
    <xf numFmtId="168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7" fontId="10" fillId="14" borderId="0" xfId="16" applyNumberFormat="1" applyFont="1" applyFill="1" applyBorder="1" applyAlignment="1" applyProtection="1">
      <alignment horizontal="center" vertical="center"/>
      <protection locked="0"/>
    </xf>
    <xf numFmtId="167" fontId="12" fillId="8" borderId="0" xfId="16" applyNumberFormat="1" applyFont="1" applyFill="1" applyBorder="1" applyAlignment="1">
      <alignment horizontal="center" vertical="center"/>
    </xf>
    <xf numFmtId="167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7" fontId="11" fillId="3" borderId="21" xfId="16" applyNumberFormat="1" applyFont="1" applyFill="1" applyBorder="1" applyAlignment="1">
      <alignment horizontal="center" vertical="center"/>
    </xf>
    <xf numFmtId="3" fontId="12" fillId="5" borderId="21" xfId="5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7" fontId="10" fillId="0" borderId="21" xfId="16" applyNumberFormat="1" applyFont="1" applyBorder="1" applyAlignment="1">
      <alignment horizontal="center" vertical="center"/>
    </xf>
    <xf numFmtId="167" fontId="11" fillId="0" borderId="21" xfId="16" applyNumberFormat="1" applyFont="1" applyBorder="1" applyAlignment="1">
      <alignment horizontal="center" vertical="center"/>
    </xf>
    <xf numFmtId="3" fontId="12" fillId="45" borderId="21" xfId="13" applyNumberFormat="1" applyFont="1" applyFill="1" applyBorder="1" applyAlignment="1" applyProtection="1">
      <alignment horizontal="center" vertical="center"/>
      <protection locked="0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8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7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7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7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8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8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68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167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7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8" fontId="12" fillId="0" borderId="0" xfId="23" applyFont="1" applyFill="1" applyBorder="1">
      <alignment vertical="center"/>
    </xf>
    <xf numFmtId="168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8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0" fillId="5" borderId="21" xfId="78" applyNumberFormat="1" applyFont="1" applyFill="1" applyBorder="1" applyAlignment="1" applyProtection="1">
      <alignment horizontal="center" vertical="center"/>
      <protection locked="0"/>
    </xf>
    <xf numFmtId="167" fontId="10" fillId="3" borderId="21" xfId="78" applyNumberFormat="1" applyFont="1" applyFill="1" applyBorder="1" applyAlignment="1" applyProtection="1">
      <alignment horizontal="center" vertical="center"/>
      <protection locked="0"/>
    </xf>
    <xf numFmtId="168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8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68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68" fontId="17" fillId="7" borderId="21" xfId="5" applyNumberFormat="1" applyFont="1" applyFill="1" applyBorder="1" applyAlignment="1">
      <alignment horizontal="left" vertical="center"/>
    </xf>
    <xf numFmtId="167" fontId="17" fillId="7" borderId="28" xfId="5" applyNumberFormat="1" applyFont="1" applyFill="1" applyBorder="1" applyAlignment="1">
      <alignment horizontal="center" vertical="center"/>
    </xf>
    <xf numFmtId="167" fontId="17" fillId="7" borderId="20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center" vertical="center"/>
    </xf>
    <xf numFmtId="167" fontId="17" fillId="7" borderId="0" xfId="5" applyNumberFormat="1" applyFont="1" applyFill="1" applyAlignment="1">
      <alignment horizontal="center" vertical="center"/>
    </xf>
    <xf numFmtId="167" fontId="10" fillId="7" borderId="28" xfId="5" applyNumberFormat="1" applyFont="1" applyFill="1" applyBorder="1" applyAlignment="1">
      <alignment horizontal="center" vertical="center"/>
    </xf>
    <xf numFmtId="167" fontId="10" fillId="7" borderId="20" xfId="5" applyNumberFormat="1" applyFont="1" applyFill="1" applyBorder="1" applyAlignment="1">
      <alignment horizontal="center" vertical="center"/>
    </xf>
    <xf numFmtId="167" fontId="10" fillId="7" borderId="21" xfId="5" applyNumberFormat="1" applyFont="1" applyFill="1" applyBorder="1" applyAlignment="1">
      <alignment horizontal="center" vertical="center"/>
    </xf>
    <xf numFmtId="167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7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7" fontId="4" fillId="8" borderId="4" xfId="16" applyNumberFormat="1" applyFont="1" applyFill="1" applyBorder="1" applyAlignment="1">
      <alignment horizontal="center" vertical="center"/>
    </xf>
    <xf numFmtId="167" fontId="4" fillId="8" borderId="0" xfId="16" applyNumberFormat="1" applyFont="1" applyFill="1" applyBorder="1" applyAlignment="1">
      <alignment horizontal="center" vertical="center"/>
    </xf>
    <xf numFmtId="167" fontId="4" fillId="8" borderId="3" xfId="16" applyNumberFormat="1" applyFont="1" applyFill="1" applyBorder="1" applyAlignment="1">
      <alignment horizontal="center" vertical="center"/>
    </xf>
    <xf numFmtId="167" fontId="10" fillId="8" borderId="3" xfId="16" applyNumberFormat="1" applyFont="1" applyFill="1" applyBorder="1" applyAlignment="1">
      <alignment horizontal="center" vertical="center"/>
    </xf>
    <xf numFmtId="167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7" fontId="17" fillId="8" borderId="4" xfId="16" applyNumberFormat="1" applyFont="1" applyFill="1" applyBorder="1" applyAlignment="1">
      <alignment horizontal="center" vertical="center"/>
    </xf>
    <xf numFmtId="168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7" fontId="4" fillId="7" borderId="4" xfId="11" applyNumberFormat="1" applyFont="1" applyFill="1" applyBorder="1" applyAlignment="1" applyProtection="1">
      <alignment horizontal="center" vertical="center"/>
      <protection locked="0"/>
    </xf>
    <xf numFmtId="167" fontId="4" fillId="7" borderId="0" xfId="11" applyNumberFormat="1" applyFont="1" applyFill="1" applyBorder="1" applyAlignment="1" applyProtection="1">
      <alignment horizontal="center" vertical="center"/>
      <protection locked="0"/>
    </xf>
    <xf numFmtId="167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7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7" fontId="4" fillId="8" borderId="4" xfId="11" applyNumberFormat="1" applyFont="1" applyFill="1" applyBorder="1" applyAlignment="1" applyProtection="1">
      <alignment horizontal="center" vertical="center"/>
      <protection locked="0"/>
    </xf>
    <xf numFmtId="167" fontId="4" fillId="8" borderId="0" xfId="11" applyNumberFormat="1" applyFont="1" applyFill="1" applyBorder="1" applyAlignment="1" applyProtection="1">
      <alignment horizontal="center" vertical="center"/>
      <protection locked="0"/>
    </xf>
    <xf numFmtId="167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7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186" fontId="38" fillId="0" borderId="69" xfId="38" applyNumberFormat="1">
      <alignment horizontal="right" vertical="center"/>
    </xf>
    <xf numFmtId="186" fontId="37" fillId="0" borderId="68" xfId="37" applyNumberFormat="1">
      <alignment horizontal="right" vertical="center"/>
    </xf>
    <xf numFmtId="186" fontId="37" fillId="0" borderId="87" xfId="37" applyNumberFormat="1" applyBorder="1">
      <alignment horizontal="right" vertical="center"/>
    </xf>
    <xf numFmtId="186" fontId="38" fillId="0" borderId="73" xfId="38" applyNumberFormat="1" applyBorder="1">
      <alignment horizontal="right" vertical="center"/>
    </xf>
    <xf numFmtId="186" fontId="37" fillId="0" borderId="71" xfId="37" applyNumberFormat="1" applyBorder="1">
      <alignment horizontal="right" vertical="center"/>
    </xf>
    <xf numFmtId="186" fontId="37" fillId="0" borderId="88" xfId="37" applyNumberFormat="1" applyBorder="1">
      <alignment horizontal="right" vertical="center"/>
    </xf>
    <xf numFmtId="0" fontId="4" fillId="0" borderId="3" xfId="1" applyFont="1" applyBorder="1" applyAlignment="1">
      <alignment vertical="center" wrapText="1"/>
    </xf>
    <xf numFmtId="167" fontId="17" fillId="7" borderId="2" xfId="78" applyNumberFormat="1" applyFont="1" applyFill="1" applyBorder="1" applyAlignment="1">
      <alignment horizontal="left" vertical="center"/>
    </xf>
    <xf numFmtId="167" fontId="17" fillId="7" borderId="17" xfId="78" applyNumberFormat="1" applyFont="1" applyFill="1" applyBorder="1" applyAlignment="1" applyProtection="1">
      <alignment horizontal="center" vertical="center"/>
      <protection locked="0"/>
    </xf>
    <xf numFmtId="167" fontId="17" fillId="7" borderId="16" xfId="78" applyNumberFormat="1" applyFont="1" applyFill="1" applyBorder="1" applyAlignment="1" applyProtection="1">
      <alignment horizontal="center" vertical="center"/>
      <protection locked="0"/>
    </xf>
    <xf numFmtId="167" fontId="17" fillId="7" borderId="15" xfId="78" applyNumberFormat="1" applyFont="1" applyFill="1" applyBorder="1" applyAlignment="1" applyProtection="1">
      <alignment horizontal="center" vertical="center"/>
      <protection locked="0"/>
    </xf>
    <xf numFmtId="167" fontId="17" fillId="7" borderId="18" xfId="78" applyNumberFormat="1" applyFont="1" applyFill="1" applyBorder="1" applyAlignment="1" applyProtection="1">
      <alignment horizontal="center" vertical="center"/>
      <protection locked="0"/>
    </xf>
    <xf numFmtId="167" fontId="17" fillId="7" borderId="20" xfId="78" applyNumberFormat="1" applyFont="1" applyFill="1" applyBorder="1" applyAlignment="1" applyProtection="1">
      <alignment horizontal="left" vertical="center"/>
      <protection locked="0"/>
    </xf>
    <xf numFmtId="167" fontId="5" fillId="0" borderId="0" xfId="78" applyNumberFormat="1" applyFont="1"/>
    <xf numFmtId="167" fontId="4" fillId="0" borderId="0" xfId="78" applyNumberFormat="1" applyFont="1"/>
    <xf numFmtId="187" fontId="17" fillId="7" borderId="2" xfId="5" applyNumberFormat="1" applyFont="1" applyFill="1" applyBorder="1" applyAlignment="1">
      <alignment horizontal="left" vertical="center"/>
    </xf>
    <xf numFmtId="187" fontId="17" fillId="7" borderId="17" xfId="12" applyNumberFormat="1" applyFont="1" applyFill="1" applyBorder="1" applyAlignment="1" applyProtection="1">
      <alignment horizontal="center" vertical="center"/>
      <protection locked="0"/>
    </xf>
    <xf numFmtId="187" fontId="17" fillId="7" borderId="16" xfId="12" applyNumberFormat="1" applyFont="1" applyFill="1" applyBorder="1" applyAlignment="1" applyProtection="1">
      <alignment horizontal="center" vertical="center"/>
      <protection locked="0"/>
    </xf>
    <xf numFmtId="187" fontId="17" fillId="7" borderId="15" xfId="12" applyNumberFormat="1" applyFont="1" applyFill="1" applyBorder="1" applyAlignment="1" applyProtection="1">
      <alignment horizontal="center" vertical="center"/>
      <protection locked="0"/>
    </xf>
    <xf numFmtId="187" fontId="17" fillId="7" borderId="17" xfId="16" applyNumberFormat="1" applyFont="1" applyFill="1" applyBorder="1" applyAlignment="1" applyProtection="1">
      <alignment horizontal="center" vertical="center"/>
      <protection locked="0"/>
    </xf>
    <xf numFmtId="187" fontId="17" fillId="7" borderId="18" xfId="12" applyNumberFormat="1" applyFont="1" applyFill="1" applyBorder="1" applyAlignment="1" applyProtection="1">
      <alignment horizontal="center" vertical="center"/>
      <protection locked="0"/>
    </xf>
    <xf numFmtId="187" fontId="17" fillId="7" borderId="18" xfId="16" applyNumberFormat="1" applyFont="1" applyFill="1" applyBorder="1" applyAlignment="1" applyProtection="1">
      <alignment horizontal="center" vertical="center"/>
      <protection locked="0"/>
    </xf>
    <xf numFmtId="187" fontId="17" fillId="7" borderId="20" xfId="12" applyNumberFormat="1" applyFont="1" applyFill="1" applyBorder="1" applyAlignment="1" applyProtection="1">
      <alignment horizontal="left" vertical="center"/>
      <protection locked="0"/>
    </xf>
    <xf numFmtId="187" fontId="4" fillId="0" borderId="0" xfId="15" applyNumberFormat="1" applyFont="1"/>
    <xf numFmtId="0" fontId="37" fillId="33" borderId="70" xfId="48" applyNumberFormat="1" applyAlignment="1"/>
    <xf numFmtId="0" fontId="37" fillId="33" borderId="70" xfId="48" quotePrefix="1" applyNumberFormat="1" applyAlignment="1"/>
    <xf numFmtId="184" fontId="39" fillId="32" borderId="70" xfId="45" quotePrefix="1" applyNumberFormat="1" applyAlignment="1"/>
    <xf numFmtId="185" fontId="39" fillId="28" borderId="70" xfId="40" quotePrefix="1" applyNumberFormat="1" applyAlignment="1"/>
    <xf numFmtId="173" fontId="39" fillId="28" borderId="70" xfId="40" quotePrefix="1" applyNumberFormat="1" applyAlignment="1"/>
    <xf numFmtId="172" fontId="39" fillId="27" borderId="70" xfId="39" quotePrefix="1" applyNumberFormat="1" applyAlignment="1"/>
    <xf numFmtId="177" fontId="39" fillId="27" borderId="70" xfId="39" quotePrefix="1" applyNumberFormat="1" applyAlignment="1"/>
    <xf numFmtId="175" fontId="39" fillId="30" borderId="70" xfId="42" quotePrefix="1" applyNumberFormat="1" applyAlignment="1"/>
    <xf numFmtId="182" fontId="40" fillId="31" borderId="70" xfId="43" quotePrefix="1" applyNumberFormat="1">
      <alignment vertical="center"/>
    </xf>
    <xf numFmtId="179" fontId="40" fillId="31" borderId="70" xfId="43" quotePrefix="1" applyNumberFormat="1">
      <alignment vertical="center"/>
    </xf>
    <xf numFmtId="178" fontId="40" fillId="31" borderId="70" xfId="43" quotePrefix="1" applyNumberFormat="1">
      <alignment vertical="center"/>
    </xf>
    <xf numFmtId="181" fontId="40" fillId="31" borderId="70" xfId="43" quotePrefix="1" applyNumberFormat="1">
      <alignment vertical="center"/>
    </xf>
    <xf numFmtId="180" fontId="40" fillId="31" borderId="70" xfId="43" quotePrefix="1" applyNumberFormat="1">
      <alignment vertical="center"/>
    </xf>
    <xf numFmtId="176" fontId="39" fillId="30" borderId="70" xfId="42" quotePrefix="1" applyNumberFormat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4B4B46"/>
      <color rgb="FFF0F0F0"/>
      <color rgb="FFD2D2D2"/>
      <color rgb="FFD7004B"/>
      <color rgb="FFB4C832"/>
      <color rgb="FFF0E614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342901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59EC0DE-9591-4DF9-BECB-D598CF67B31D}">
    <text>Please overwrite with your respective Product Group, Line, etc.</text>
  </threadedComment>
  <threadedComment ref="B8" dT="2021-07-22T16:40:11.60" personId="{73FED8AF-F150-467B-BE81-42DC5313751A}" id="{39DF37BE-7B28-47C1-866A-224F4521917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Normal="100" workbookViewId="0">
      <pane xSplit="1" ySplit="5" topLeftCell="J6" activePane="bottomRight" state="frozen"/>
      <selection pane="topRight" activeCell="H16" sqref="H16"/>
      <selection pane="bottomLeft" activeCell="H16" sqref="H16"/>
      <selection pane="bottomRight" activeCell="M34" sqref="M34"/>
    </sheetView>
  </sheetViews>
  <sheetFormatPr defaultColWidth="9.28515625" defaultRowHeight="12.75" customHeight="1" outlineLevelCol="1" x14ac:dyDescent="0.2"/>
  <cols>
    <col min="1" max="1" width="57.42578125" style="5" customWidth="1"/>
    <col min="2" max="2" width="16.28515625" style="5" customWidth="1"/>
    <col min="3" max="3" width="16.7109375" style="5" customWidth="1"/>
    <col min="4" max="4" width="16.7109375" style="5" customWidth="1" outlineLevel="1"/>
    <col min="5" max="5" width="21.28515625" style="5" customWidth="1" outlineLevel="1"/>
    <col min="6" max="9" width="16.7109375" style="5" customWidth="1"/>
    <col min="10" max="10" width="12.7109375" style="5" customWidth="1"/>
    <col min="11" max="11" width="16.7109375" style="5" customWidth="1"/>
    <col min="12" max="12" width="16.7109375" style="5" customWidth="1" outlineLevel="1"/>
    <col min="13" max="14" width="16.7109375" style="5" customWidth="1"/>
    <col min="15" max="15" width="49.7109375" style="5" customWidth="1"/>
    <col min="16" max="16" width="2.28515625" style="5" customWidth="1"/>
    <col min="17" max="17" width="255.7109375" style="5" bestFit="1" customWidth="1"/>
    <col min="18" max="16384" width="9.28515625" style="5"/>
  </cols>
  <sheetData>
    <row r="1" spans="1:17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694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154</v>
      </c>
    </row>
    <row r="2" spans="1:17" s="71" customFormat="1" ht="19.899999999999999" customHeight="1" thickBot="1" x14ac:dyDescent="0.3">
      <c r="A2" s="55" t="s">
        <v>240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7521 &amp; 7522 PL Mechatronic Sensors (&amp; Electrification)</v>
      </c>
      <c r="Q2" s="95" t="s">
        <v>156</v>
      </c>
    </row>
    <row r="3" spans="1:17" ht="12.75" customHeight="1" x14ac:dyDescent="0.2">
      <c r="L3" s="121"/>
      <c r="N3" s="188"/>
    </row>
    <row r="4" spans="1:17" ht="25.5" customHeight="1" x14ac:dyDescent="0.2">
      <c r="A4" s="187" t="str">
        <f>"Variable Cost"&amp;" in '000 "&amp;'Input-FX Rates'!$B$8</f>
        <v>Variable Cost in '000 KRW</v>
      </c>
      <c r="B4" s="1029">
        <v>2023</v>
      </c>
      <c r="C4" s="1027"/>
      <c r="D4" s="1027"/>
      <c r="E4" s="1030"/>
      <c r="F4" s="1029" t="s">
        <v>241</v>
      </c>
      <c r="G4" s="1027"/>
      <c r="H4" s="1027"/>
      <c r="I4" s="1027"/>
      <c r="J4" s="1027"/>
      <c r="K4" s="1030"/>
      <c r="L4" s="1029">
        <v>2024</v>
      </c>
      <c r="M4" s="1027"/>
      <c r="N4" s="1030"/>
      <c r="O4" s="186" t="s">
        <v>208</v>
      </c>
    </row>
    <row r="5" spans="1:17" ht="54" customHeight="1" x14ac:dyDescent="0.2">
      <c r="A5" s="187"/>
      <c r="B5" s="645" t="s">
        <v>242</v>
      </c>
      <c r="C5" s="186" t="s">
        <v>19</v>
      </c>
      <c r="D5" s="186" t="s">
        <v>243</v>
      </c>
      <c r="E5" s="187" t="s">
        <v>244</v>
      </c>
      <c r="F5" s="645" t="s">
        <v>245</v>
      </c>
      <c r="G5" s="186" t="s">
        <v>246</v>
      </c>
      <c r="H5" s="186" t="s">
        <v>247</v>
      </c>
      <c r="I5" s="186" t="s">
        <v>248</v>
      </c>
      <c r="J5" s="186" t="s">
        <v>249</v>
      </c>
      <c r="K5" s="187" t="s">
        <v>250</v>
      </c>
      <c r="L5" s="645" t="s">
        <v>251</v>
      </c>
      <c r="M5" s="186" t="s">
        <v>15</v>
      </c>
      <c r="N5" s="187" t="s">
        <v>252</v>
      </c>
      <c r="O5" s="186"/>
    </row>
    <row r="6" spans="1:17" ht="18.600000000000001" customHeight="1" x14ac:dyDescent="0.2">
      <c r="A6" s="79" t="s">
        <v>195</v>
      </c>
      <c r="B6" s="185">
        <f>'P&amp;L'!F8</f>
        <v>10156179.187999999</v>
      </c>
      <c r="C6" s="184">
        <f>'P&amp;L'!H8</f>
        <v>21211769.708999999</v>
      </c>
      <c r="D6" s="183"/>
      <c r="E6" s="182">
        <f>C6-D6</f>
        <v>21211769.708999999</v>
      </c>
      <c r="F6" s="177">
        <v>-1031559</v>
      </c>
      <c r="G6" s="178"/>
      <c r="H6" s="176">
        <v>-867809.1439127801</v>
      </c>
      <c r="I6" s="181"/>
      <c r="J6" s="180"/>
      <c r="K6" s="179">
        <f>M6-SUM(E6:I6)</f>
        <v>1259128.2449127808</v>
      </c>
      <c r="L6" s="128"/>
      <c r="M6" s="178">
        <f>'P&amp;L'!I8</f>
        <v>20571529.809999999</v>
      </c>
      <c r="N6" s="170">
        <f>IFERROR(M6/C6-1,0)</f>
        <v>-3.0183238257972977E-2</v>
      </c>
      <c r="O6" s="949"/>
      <c r="P6" s="99"/>
      <c r="Q6" s="695"/>
    </row>
    <row r="7" spans="1:17" ht="18.600000000000001" customHeight="1" x14ac:dyDescent="0.2">
      <c r="A7" s="79" t="s">
        <v>253</v>
      </c>
      <c r="B7" s="177">
        <v>9838784.3599999994</v>
      </c>
      <c r="C7" s="176">
        <v>19161064.041389994</v>
      </c>
      <c r="D7" s="176"/>
      <c r="E7" s="175">
        <f>C7-D7</f>
        <v>19161064.041389994</v>
      </c>
      <c r="F7" s="134"/>
      <c r="G7" s="174"/>
      <c r="H7" s="174"/>
      <c r="I7" s="174"/>
      <c r="J7" s="173"/>
      <c r="K7" s="172"/>
      <c r="L7" s="141"/>
      <c r="M7" s="171">
        <v>18709188.107499998</v>
      </c>
      <c r="N7" s="170">
        <f>IFERROR(M7/C7-1,0)</f>
        <v>-2.3583029257346788E-2</v>
      </c>
      <c r="O7" s="937"/>
      <c r="P7" s="99"/>
      <c r="Q7" s="695"/>
    </row>
    <row r="8" spans="1:17" ht="18.600000000000001" customHeight="1" x14ac:dyDescent="0.2">
      <c r="A8" s="79" t="s">
        <v>254</v>
      </c>
      <c r="B8" s="120">
        <f>SUM(B10:B14)</f>
        <v>-6437852.2654800005</v>
      </c>
      <c r="C8" s="116">
        <f>SUM(C10:C14)</f>
        <v>-12440969.5905612</v>
      </c>
      <c r="D8" s="116">
        <f>SUM(D10:D14)</f>
        <v>0</v>
      </c>
      <c r="E8" s="118">
        <f>C8-D8</f>
        <v>-12440969.5905612</v>
      </c>
      <c r="F8" s="120">
        <f>SUM(F10:F14)</f>
        <v>605023</v>
      </c>
      <c r="G8" s="116">
        <f>SUM(G10:G14)</f>
        <v>1066210</v>
      </c>
      <c r="H8" s="116">
        <f>SUM(H10:H14)</f>
        <v>148212.28966700099</v>
      </c>
      <c r="I8" s="116">
        <f>SUM(I10:I14)</f>
        <v>0</v>
      </c>
      <c r="J8" s="116"/>
      <c r="K8" s="169">
        <f>SUM(K10:K14)</f>
        <v>21110.739559197893</v>
      </c>
      <c r="L8" s="117"/>
      <c r="M8" s="116">
        <f>SUM(M10:M14)</f>
        <v>-10600413.561335001</v>
      </c>
      <c r="N8" s="115">
        <f>IFERROR(M8/C8-1,0)</f>
        <v>-0.14794313383923108</v>
      </c>
      <c r="O8" s="937"/>
      <c r="P8" s="99"/>
      <c r="Q8" s="685" t="s">
        <v>255</v>
      </c>
    </row>
    <row r="9" spans="1:17" ht="15" customHeight="1" x14ac:dyDescent="0.2">
      <c r="A9" s="84" t="s">
        <v>256</v>
      </c>
      <c r="B9" s="932">
        <f>IFERROR((B8+B15)/B6,0)</f>
        <v>-0.65802766431851989</v>
      </c>
      <c r="C9" s="933">
        <f>IFERROR((C8+C15)/C6,0)</f>
        <v>-0.61806742035792883</v>
      </c>
      <c r="D9" s="933">
        <f>IFERROR((D8+D15)/D6,0)</f>
        <v>0</v>
      </c>
      <c r="E9" s="934">
        <f>IFERROR((E8+E15)/E6,0)</f>
        <v>-0.61806742035792883</v>
      </c>
      <c r="F9" s="932">
        <f>IFERROR((F8+F15)/F6,0)</f>
        <v>-0.61806837999571518</v>
      </c>
      <c r="G9" s="933"/>
      <c r="H9" s="933"/>
      <c r="I9" s="933"/>
      <c r="J9" s="933"/>
      <c r="K9" s="934"/>
      <c r="L9" s="932"/>
      <c r="M9" s="933">
        <f>IFERROR((M8+M15)/M6,0)</f>
        <v>-0.53916040173227231</v>
      </c>
      <c r="N9" s="934"/>
      <c r="O9" s="937"/>
      <c r="P9" s="99"/>
      <c r="Q9" s="99"/>
    </row>
    <row r="10" spans="1:17" ht="27" customHeight="1" x14ac:dyDescent="0.2">
      <c r="A10" s="168" t="s">
        <v>257</v>
      </c>
      <c r="B10" s="141">
        <v>-6149333.6443600003</v>
      </c>
      <c r="C10" s="140">
        <v>-11976536.84234</v>
      </c>
      <c r="D10" s="140"/>
      <c r="E10" s="147">
        <f t="shared" ref="E10:E16" si="0">C10-D10</f>
        <v>-11976536.84234</v>
      </c>
      <c r="F10" s="146">
        <f t="shared" ref="F10:F16" si="1">IF($C$6=0,0,ROUND($F$6/$E$6*E10,0))</f>
        <v>582436</v>
      </c>
      <c r="G10" s="145">
        <v>688965</v>
      </c>
      <c r="H10" s="164">
        <v>142985.997180001</v>
      </c>
      <c r="I10" s="155">
        <v>0</v>
      </c>
      <c r="J10" s="156"/>
      <c r="K10" s="142">
        <f t="shared" ref="K10:K16" si="2">M10-SUM(E10:I10)</f>
        <v>0.81182499788701534</v>
      </c>
      <c r="L10" s="141"/>
      <c r="M10" s="164">
        <v>-10562149.033335</v>
      </c>
      <c r="N10" s="167">
        <f t="shared" ref="N10:N16" si="3">IFERROR(M10/C10-1,0)</f>
        <v>-0.11809656060212592</v>
      </c>
      <c r="O10" s="138" t="s">
        <v>258</v>
      </c>
      <c r="P10" s="99"/>
      <c r="Q10" s="696" t="s">
        <v>259</v>
      </c>
    </row>
    <row r="11" spans="1:17" ht="15" customHeight="1" x14ac:dyDescent="0.2">
      <c r="A11" s="148" t="s">
        <v>260</v>
      </c>
      <c r="B11" s="151">
        <f>'P&amp;L'!F26</f>
        <v>-254375.997</v>
      </c>
      <c r="C11" s="149">
        <f>'P&amp;L'!H26</f>
        <v>-402022.49900000001</v>
      </c>
      <c r="D11" s="140"/>
      <c r="E11" s="147">
        <f t="shared" si="0"/>
        <v>-402022.49900000001</v>
      </c>
      <c r="F11" s="146">
        <f t="shared" si="1"/>
        <v>19551</v>
      </c>
      <c r="G11" s="145">
        <v>377245</v>
      </c>
      <c r="H11" s="140">
        <v>5226.2924869999997</v>
      </c>
      <c r="I11" s="164">
        <v>0</v>
      </c>
      <c r="J11" s="156"/>
      <c r="K11" s="142">
        <f t="shared" si="2"/>
        <v>0.20651300001100026</v>
      </c>
      <c r="L11" s="141"/>
      <c r="M11" s="149">
        <f>'P&amp;L'!I26</f>
        <v>0</v>
      </c>
      <c r="N11" s="139">
        <f t="shared" si="3"/>
        <v>-1</v>
      </c>
      <c r="O11" s="138" t="s">
        <v>261</v>
      </c>
      <c r="P11" s="99"/>
      <c r="Q11" s="685" t="s">
        <v>262</v>
      </c>
    </row>
    <row r="12" spans="1:17" ht="15" customHeight="1" x14ac:dyDescent="0.2">
      <c r="A12" s="148" t="s">
        <v>263</v>
      </c>
      <c r="B12" s="151">
        <f>'P&amp;L'!F45</f>
        <v>-4308.7190000000001</v>
      </c>
      <c r="C12" s="149">
        <f>'P&amp;L'!H45</f>
        <v>-4308.7190000000001</v>
      </c>
      <c r="D12" s="140"/>
      <c r="E12" s="147">
        <f t="shared" si="0"/>
        <v>-4308.7190000000001</v>
      </c>
      <c r="F12" s="146">
        <f t="shared" si="1"/>
        <v>210</v>
      </c>
      <c r="G12" s="166"/>
      <c r="H12" s="165"/>
      <c r="I12" s="164">
        <v>0</v>
      </c>
      <c r="J12" s="156"/>
      <c r="K12" s="142">
        <f t="shared" si="2"/>
        <v>4098.7190000000001</v>
      </c>
      <c r="L12" s="141"/>
      <c r="M12" s="149">
        <f>'P&amp;L'!I45</f>
        <v>0</v>
      </c>
      <c r="N12" s="139">
        <f t="shared" si="3"/>
        <v>-1</v>
      </c>
      <c r="O12" s="138" t="s">
        <v>261</v>
      </c>
      <c r="P12" s="99"/>
      <c r="Q12" s="685" t="s">
        <v>264</v>
      </c>
    </row>
    <row r="13" spans="1:17" ht="15" customHeight="1" x14ac:dyDescent="0.2">
      <c r="A13" s="148" t="s">
        <v>265</v>
      </c>
      <c r="B13" s="141">
        <v>-29833.905119999996</v>
      </c>
      <c r="C13" s="140">
        <v>-58101.530221199995</v>
      </c>
      <c r="D13" s="140"/>
      <c r="E13" s="147">
        <f t="shared" si="0"/>
        <v>-58101.530221199995</v>
      </c>
      <c r="F13" s="146">
        <f t="shared" si="1"/>
        <v>2826</v>
      </c>
      <c r="G13" s="145">
        <v>0</v>
      </c>
      <c r="H13" s="140">
        <v>0</v>
      </c>
      <c r="I13" s="164">
        <v>0</v>
      </c>
      <c r="J13" s="156"/>
      <c r="K13" s="142">
        <f t="shared" si="2"/>
        <v>17011.002221199997</v>
      </c>
      <c r="L13" s="141"/>
      <c r="M13" s="140">
        <v>-38264.527999999998</v>
      </c>
      <c r="N13" s="139">
        <f t="shared" si="3"/>
        <v>-0.34141961744687233</v>
      </c>
      <c r="O13" s="138" t="s">
        <v>266</v>
      </c>
      <c r="P13" s="99"/>
      <c r="Q13" s="685" t="s">
        <v>267</v>
      </c>
    </row>
    <row r="14" spans="1:17" ht="15" customHeight="1" x14ac:dyDescent="0.2">
      <c r="A14" s="148" t="s">
        <v>268</v>
      </c>
      <c r="B14" s="141">
        <v>0</v>
      </c>
      <c r="C14" s="140">
        <v>0</v>
      </c>
      <c r="D14" s="140"/>
      <c r="E14" s="147">
        <f t="shared" si="0"/>
        <v>0</v>
      </c>
      <c r="F14" s="146">
        <f t="shared" si="1"/>
        <v>0</v>
      </c>
      <c r="G14" s="145">
        <v>0</v>
      </c>
      <c r="H14" s="140">
        <v>0</v>
      </c>
      <c r="I14" s="157"/>
      <c r="J14" s="156"/>
      <c r="K14" s="142">
        <f t="shared" si="2"/>
        <v>0</v>
      </c>
      <c r="L14" s="141"/>
      <c r="M14" s="140">
        <v>0</v>
      </c>
      <c r="N14" s="139">
        <f t="shared" si="3"/>
        <v>0</v>
      </c>
      <c r="O14" s="138" t="s">
        <v>261</v>
      </c>
      <c r="P14" s="99"/>
      <c r="Q14" s="685" t="s">
        <v>269</v>
      </c>
    </row>
    <row r="15" spans="1:17" s="159" customFormat="1" ht="15" customHeight="1" x14ac:dyDescent="0.25">
      <c r="A15" s="163" t="s">
        <v>270</v>
      </c>
      <c r="B15" s="128">
        <v>-245194.60399999999</v>
      </c>
      <c r="C15" s="127">
        <v>-669334.19470688398</v>
      </c>
      <c r="D15" s="127"/>
      <c r="E15" s="125">
        <f t="shared" si="0"/>
        <v>-669334.19470688398</v>
      </c>
      <c r="F15" s="137">
        <f t="shared" si="1"/>
        <v>32551</v>
      </c>
      <c r="G15" s="162">
        <f>M15-SUM(E15,F15,H15)</f>
        <v>145842.47943487181</v>
      </c>
      <c r="H15" s="127">
        <v>0</v>
      </c>
      <c r="I15" s="161"/>
      <c r="J15" s="160"/>
      <c r="K15" s="142">
        <f t="shared" si="2"/>
        <v>0</v>
      </c>
      <c r="L15" s="128"/>
      <c r="M15" s="127">
        <v>-490940.71527201217</v>
      </c>
      <c r="N15" s="123">
        <f t="shared" si="3"/>
        <v>-0.26652377966883078</v>
      </c>
      <c r="O15" s="138" t="s">
        <v>271</v>
      </c>
      <c r="P15" s="64"/>
      <c r="Q15" s="685" t="s">
        <v>272</v>
      </c>
    </row>
    <row r="16" spans="1:17" ht="15" customHeight="1" x14ac:dyDescent="0.2">
      <c r="A16" s="148" t="s">
        <v>273</v>
      </c>
      <c r="B16" s="151">
        <f>'P&amp;L'!F58</f>
        <v>-138065.486</v>
      </c>
      <c r="C16" s="149">
        <f>'P&amp;L'!H58</f>
        <v>-298813.85600000003</v>
      </c>
      <c r="D16" s="140"/>
      <c r="E16" s="147">
        <f t="shared" si="0"/>
        <v>-298813.85600000003</v>
      </c>
      <c r="F16" s="146">
        <f t="shared" si="1"/>
        <v>14532</v>
      </c>
      <c r="G16" s="158">
        <f>M16-SUM(E16,F16,H16)</f>
        <v>96639.399000000034</v>
      </c>
      <c r="H16" s="140">
        <v>0</v>
      </c>
      <c r="I16" s="157"/>
      <c r="J16" s="156"/>
      <c r="K16" s="142">
        <f t="shared" si="2"/>
        <v>0</v>
      </c>
      <c r="L16" s="141"/>
      <c r="M16" s="149">
        <f>'P&amp;L'!I58</f>
        <v>-187642.45699999999</v>
      </c>
      <c r="N16" s="139">
        <f t="shared" si="3"/>
        <v>-0.37204231586904735</v>
      </c>
      <c r="O16" s="138" t="s">
        <v>261</v>
      </c>
      <c r="P16" s="99"/>
      <c r="Q16" s="685" t="s">
        <v>274</v>
      </c>
    </row>
    <row r="17" spans="1:17" ht="15" customHeight="1" x14ac:dyDescent="0.2">
      <c r="A17" s="79" t="s">
        <v>275</v>
      </c>
      <c r="B17" s="120">
        <f>B19+B20+B21</f>
        <v>-682692.46500000008</v>
      </c>
      <c r="C17" s="116">
        <f t="shared" ref="C17:D17" si="4">C19+C20+C21</f>
        <v>-1340948.4911946112</v>
      </c>
      <c r="D17" s="116">
        <f t="shared" si="4"/>
        <v>0</v>
      </c>
      <c r="E17" s="118">
        <f>C17-D17</f>
        <v>-1340948.4911946112</v>
      </c>
      <c r="F17" s="120">
        <f>F19+F20+F21</f>
        <v>65212</v>
      </c>
      <c r="G17" s="116">
        <f t="shared" ref="G17:I17" si="5">G19+G20+G21</f>
        <v>0</v>
      </c>
      <c r="H17" s="116">
        <f t="shared" si="5"/>
        <v>-49449.083277108628</v>
      </c>
      <c r="I17" s="116">
        <f t="shared" si="5"/>
        <v>0</v>
      </c>
      <c r="J17" s="119">
        <f>IFERROR((I17/(E17+F17+G17))*-1,0)</f>
        <v>0</v>
      </c>
      <c r="K17" s="118">
        <f>K19+K20+K21</f>
        <v>-42905.729528280208</v>
      </c>
      <c r="L17" s="117">
        <f>L19+L20</f>
        <v>0</v>
      </c>
      <c r="M17" s="116">
        <f>M19+M20+M21</f>
        <v>-1368091.304</v>
      </c>
      <c r="N17" s="115">
        <f>IFERROR(M17/C17-1,0)</f>
        <v>2.0241502923955101E-2</v>
      </c>
      <c r="O17" s="937"/>
      <c r="P17" s="99"/>
      <c r="Q17" s="685"/>
    </row>
    <row r="18" spans="1:17" ht="15" customHeight="1" x14ac:dyDescent="0.2">
      <c r="A18" s="84" t="s">
        <v>198</v>
      </c>
      <c r="B18" s="932">
        <f>IFERROR(B17/B$6,0)</f>
        <v>-6.7219419071163411E-2</v>
      </c>
      <c r="C18" s="933">
        <f>IFERROR(C17/C$6,0)</f>
        <v>-6.32171907196247E-2</v>
      </c>
      <c r="D18" s="933">
        <f>IFERROR(D17/D$6,0)</f>
        <v>0</v>
      </c>
      <c r="E18" s="934">
        <f>IFERROR(E17/E$6,0)</f>
        <v>-6.32171907196247E-2</v>
      </c>
      <c r="F18" s="932">
        <f>IFERROR(F17/F$6,0)</f>
        <v>-6.321693669484732E-2</v>
      </c>
      <c r="G18" s="933"/>
      <c r="H18" s="933"/>
      <c r="I18" s="933"/>
      <c r="J18" s="933"/>
      <c r="K18" s="934"/>
      <c r="L18" s="932"/>
      <c r="M18" s="933">
        <f>IFERROR(M17/M$6,0)</f>
        <v>-6.6504111100913796E-2</v>
      </c>
      <c r="N18" s="934"/>
      <c r="O18" s="937"/>
      <c r="P18" s="99"/>
      <c r="Q18" s="685"/>
    </row>
    <row r="19" spans="1:17" ht="15" customHeight="1" x14ac:dyDescent="0.2">
      <c r="A19" s="148" t="s">
        <v>276</v>
      </c>
      <c r="B19" s="141">
        <v>-586427.13100000005</v>
      </c>
      <c r="C19" s="140">
        <v>-1139690.8327804799</v>
      </c>
      <c r="D19" s="144"/>
      <c r="E19" s="147">
        <f>C19-D19</f>
        <v>-1139690.8327804799</v>
      </c>
      <c r="F19" s="146">
        <f>IF($C$6=0,0,ROUND($F$6/$E$6*E19,0))</f>
        <v>55425</v>
      </c>
      <c r="G19" s="155">
        <v>0</v>
      </c>
      <c r="H19" s="153">
        <f>((M19/(1+'6. HC (LC)'!Q36))-M19)*-1</f>
        <v>-41927.03877108451</v>
      </c>
      <c r="I19" s="144">
        <v>0</v>
      </c>
      <c r="J19" s="143">
        <f>IFERROR((I19/(E19+F19+G19))*-1,0)</f>
        <v>0</v>
      </c>
      <c r="K19" s="142">
        <f>M19-SUM(E19:I19)</f>
        <v>-33788.53444843553</v>
      </c>
      <c r="L19" s="152"/>
      <c r="M19" s="145">
        <v>-1159981.406</v>
      </c>
      <c r="N19" s="139">
        <f>IFERROR(M19/C19-1,0)</f>
        <v>1.7803576756002748E-2</v>
      </c>
      <c r="O19" s="138" t="s">
        <v>277</v>
      </c>
      <c r="P19" s="99"/>
      <c r="Q19" s="685" t="s">
        <v>278</v>
      </c>
    </row>
    <row r="20" spans="1:17" ht="15" customHeight="1" x14ac:dyDescent="0.2">
      <c r="A20" s="148" t="s">
        <v>279</v>
      </c>
      <c r="B20" s="151">
        <f>'5. Logistic Cost (LC)'!B11+'5. Logistic Cost (LC)'!B19</f>
        <v>-96265.334000000003</v>
      </c>
      <c r="C20" s="149">
        <f>'5. Logistic Cost (LC)'!C11+'5. Logistic Cost (LC)'!C19</f>
        <v>-201257.65841413121</v>
      </c>
      <c r="D20" s="149">
        <f>'5. Logistic Cost (LC)'!D11+'5. Logistic Cost (LC)'!D19</f>
        <v>0</v>
      </c>
      <c r="E20" s="147">
        <f>C20-D20</f>
        <v>-201257.65841413121</v>
      </c>
      <c r="F20" s="146">
        <f>IF($C$6=0,0,ROUND($F$6/$E$6*E20,0))</f>
        <v>9787</v>
      </c>
      <c r="G20" s="149">
        <f>'5. Logistic Cost (LC)'!G11+'5. Logistic Cost (LC)'!G19</f>
        <v>0</v>
      </c>
      <c r="H20" s="153">
        <f>'5. Logistic Cost (LC)'!H11+'5. Logistic Cost (LC)'!H19</f>
        <v>-7522.0445060241182</v>
      </c>
      <c r="I20" s="153">
        <f>'5. Logistic Cost (LC)'!I11+'5. Logistic Cost (LC)'!I19</f>
        <v>0</v>
      </c>
      <c r="J20" s="143">
        <f>IFERROR((I20/(E20+F20+G20))*-1,0)</f>
        <v>0</v>
      </c>
      <c r="K20" s="142">
        <f>M20-SUM(E20:I20)</f>
        <v>-9117.1950798446778</v>
      </c>
      <c r="L20" s="153">
        <f>'5. Logistic Cost (LC)'!K11+'5. Logistic Cost (LC)'!K19</f>
        <v>0</v>
      </c>
      <c r="M20" s="149">
        <f>'5. Logistic Cost (LC)'!L11+'5. Logistic Cost (LC)'!L19</f>
        <v>-208109.89799999999</v>
      </c>
      <c r="N20" s="139">
        <f>IFERROR(M20/C20-1,0)</f>
        <v>3.4047099821507443E-2</v>
      </c>
      <c r="O20" s="138" t="s">
        <v>261</v>
      </c>
      <c r="P20" s="99"/>
      <c r="Q20" s="697" t="s">
        <v>280</v>
      </c>
    </row>
    <row r="21" spans="1:17" ht="15" customHeight="1" x14ac:dyDescent="0.2">
      <c r="A21" s="148" t="s">
        <v>281</v>
      </c>
      <c r="B21" s="141">
        <v>0</v>
      </c>
      <c r="C21" s="140">
        <v>0</v>
      </c>
      <c r="D21" s="144"/>
      <c r="E21" s="147">
        <f>C21-D21</f>
        <v>0</v>
      </c>
      <c r="F21" s="146">
        <f>IF($C$6=0,0,ROUND($F$6/$E$6*E21,0))</f>
        <v>0</v>
      </c>
      <c r="G21" s="155">
        <v>0</v>
      </c>
      <c r="H21" s="155">
        <v>0</v>
      </c>
      <c r="I21" s="155">
        <v>0</v>
      </c>
      <c r="J21" s="143">
        <f>IFERROR((I21/(E21+F21+G21))*-1,0)</f>
        <v>0</v>
      </c>
      <c r="K21" s="142">
        <f>M21-SUM(E21:I21)</f>
        <v>0</v>
      </c>
      <c r="L21" s="153"/>
      <c r="M21" s="145">
        <v>0</v>
      </c>
      <c r="N21" s="139">
        <f>IFERROR(M21/C21-1,0)</f>
        <v>0</v>
      </c>
      <c r="O21" s="967" t="s">
        <v>261</v>
      </c>
      <c r="P21" s="99"/>
      <c r="Q21" s="697" t="s">
        <v>282</v>
      </c>
    </row>
    <row r="22" spans="1:17" ht="15" customHeight="1" x14ac:dyDescent="0.2">
      <c r="A22" s="79" t="s">
        <v>283</v>
      </c>
      <c r="B22" s="120">
        <f>SUM(B24:B30)</f>
        <v>-618390.50799999991</v>
      </c>
      <c r="C22" s="116">
        <f>SUM(C24:C30)</f>
        <v>-1130116.2869313527</v>
      </c>
      <c r="D22" s="116">
        <f>SUM(D24:D30)</f>
        <v>-214468.57801014991</v>
      </c>
      <c r="E22" s="118">
        <f>C22-D22</f>
        <v>-915647.70892120281</v>
      </c>
      <c r="F22" s="120">
        <f>SUM(F24:F30)</f>
        <v>44529</v>
      </c>
      <c r="G22" s="116">
        <f>SUM(G24:G30)</f>
        <v>0</v>
      </c>
      <c r="H22" s="116">
        <f>SUM(H24:H30)</f>
        <v>-13344.368689807648</v>
      </c>
      <c r="I22" s="116">
        <f>SUM(I24:I30)</f>
        <v>0</v>
      </c>
      <c r="J22" s="119">
        <f>IFERROR((I22/(E22+F22+G22))*-1,0)</f>
        <v>0</v>
      </c>
      <c r="K22" s="118">
        <f>SUM(K24:K30)</f>
        <v>-137728.30930056304</v>
      </c>
      <c r="L22" s="117">
        <f>SUM(L24:L30)</f>
        <v>0</v>
      </c>
      <c r="M22" s="116">
        <f>SUM(M24:M30)</f>
        <v>-1022191.3869115734</v>
      </c>
      <c r="N22" s="115">
        <f>IFERROR(M22/C22-1,0)</f>
        <v>-9.5498933399882135E-2</v>
      </c>
      <c r="O22" s="937"/>
      <c r="P22" s="99"/>
      <c r="Q22" s="99"/>
    </row>
    <row r="23" spans="1:17" ht="15" customHeight="1" x14ac:dyDescent="0.2">
      <c r="A23" s="84" t="s">
        <v>198</v>
      </c>
      <c r="B23" s="932">
        <f>IFERROR(B22/B$6,0)</f>
        <v>-6.0888105315299798E-2</v>
      </c>
      <c r="C23" s="933">
        <f>IFERROR(C22/C$6,0)</f>
        <v>-5.3277793528554697E-2</v>
      </c>
      <c r="D23" s="933">
        <f>IFERROR(D22/D$6,0)</f>
        <v>0</v>
      </c>
      <c r="E23" s="934">
        <f>IFERROR(E22/E$6,0)</f>
        <v>-4.3166964448642875E-2</v>
      </c>
      <c r="F23" s="932">
        <f>IFERROR(F22/F$6,0)</f>
        <v>-4.3166702050003926E-2</v>
      </c>
      <c r="G23" s="933"/>
      <c r="H23" s="933"/>
      <c r="I23" s="933"/>
      <c r="J23" s="933"/>
      <c r="K23" s="934"/>
      <c r="L23" s="932"/>
      <c r="M23" s="933">
        <f>IFERROR(M22/M$6,0)</f>
        <v>-4.9689614547513007E-2</v>
      </c>
      <c r="N23" s="934"/>
      <c r="O23" s="937"/>
      <c r="P23" s="99"/>
      <c r="Q23" s="99"/>
    </row>
    <row r="24" spans="1:17" ht="15" customHeight="1" x14ac:dyDescent="0.2">
      <c r="A24" s="148" t="s">
        <v>284</v>
      </c>
      <c r="B24" s="141">
        <v>0</v>
      </c>
      <c r="C24" s="140">
        <v>0</v>
      </c>
      <c r="D24" s="140"/>
      <c r="E24" s="147">
        <f>C24-D24</f>
        <v>0</v>
      </c>
      <c r="F24" s="146">
        <f t="shared" ref="F24:F32" si="6">IF($C$6=0,0,ROUND($F$6/$E$6*E24,0))</f>
        <v>0</v>
      </c>
      <c r="G24" s="145">
        <v>0</v>
      </c>
      <c r="H24" s="140">
        <v>0</v>
      </c>
      <c r="I24" s="144">
        <v>0</v>
      </c>
      <c r="J24" s="143">
        <f t="shared" ref="J24:J35" si="7">IFERROR((I24/(E24+F24+G24))*-1,0)</f>
        <v>0</v>
      </c>
      <c r="K24" s="142">
        <f t="shared" ref="K24:K34" si="8">M24-SUM(E24:I24)</f>
        <v>0</v>
      </c>
      <c r="L24" s="152"/>
      <c r="M24" s="145">
        <v>0</v>
      </c>
      <c r="N24" s="139">
        <f t="shared" ref="N24:N35" si="9">IFERROR(M24/C24-1,0)</f>
        <v>0</v>
      </c>
      <c r="O24" s="138" t="s">
        <v>261</v>
      </c>
      <c r="P24" s="99"/>
      <c r="Q24" s="698" t="s">
        <v>285</v>
      </c>
    </row>
    <row r="25" spans="1:17" ht="15" customHeight="1" x14ac:dyDescent="0.2">
      <c r="A25" s="148" t="s">
        <v>286</v>
      </c>
      <c r="B25" s="141">
        <v>-18862.704999999998</v>
      </c>
      <c r="C25" s="140">
        <v>-36735.117987499994</v>
      </c>
      <c r="D25" s="140"/>
      <c r="E25" s="147">
        <f>C25-D25</f>
        <v>-36735.117987499994</v>
      </c>
      <c r="F25" s="146">
        <f t="shared" si="6"/>
        <v>1786</v>
      </c>
      <c r="G25" s="145">
        <v>0</v>
      </c>
      <c r="H25" s="140">
        <v>-844.9077137124998</v>
      </c>
      <c r="I25" s="144">
        <v>0</v>
      </c>
      <c r="J25" s="143">
        <f t="shared" si="7"/>
        <v>0</v>
      </c>
      <c r="K25" s="142">
        <f t="shared" si="8"/>
        <v>-17370.775298787506</v>
      </c>
      <c r="L25" s="141"/>
      <c r="M25" s="140">
        <v>-53164.800999999999</v>
      </c>
      <c r="N25" s="139">
        <f t="shared" si="9"/>
        <v>0.44724731844037091</v>
      </c>
      <c r="O25" s="138" t="s">
        <v>287</v>
      </c>
      <c r="P25" s="99"/>
      <c r="Q25" s="698" t="s">
        <v>288</v>
      </c>
    </row>
    <row r="26" spans="1:17" ht="15" customHeight="1" x14ac:dyDescent="0.2">
      <c r="A26" s="148" t="s">
        <v>289</v>
      </c>
      <c r="B26" s="141">
        <v>-162771.005</v>
      </c>
      <c r="C26" s="140">
        <v>-316996.53223750001</v>
      </c>
      <c r="D26" s="144"/>
      <c r="E26" s="147">
        <f>C26-D26</f>
        <v>-316996.53223750001</v>
      </c>
      <c r="F26" s="146">
        <f t="shared" si="6"/>
        <v>15416</v>
      </c>
      <c r="G26" s="145">
        <v>0</v>
      </c>
      <c r="H26" s="140">
        <v>-7290.9202414624997</v>
      </c>
      <c r="I26" s="144">
        <v>0</v>
      </c>
      <c r="J26" s="143">
        <f t="shared" si="7"/>
        <v>0</v>
      </c>
      <c r="K26" s="142">
        <f t="shared" si="8"/>
        <v>-240004.78052103752</v>
      </c>
      <c r="L26" s="141"/>
      <c r="M26" s="140">
        <v>-548876.23300000001</v>
      </c>
      <c r="N26" s="139">
        <f t="shared" si="9"/>
        <v>0.73148970787090883</v>
      </c>
      <c r="O26" s="138" t="s">
        <v>1509</v>
      </c>
      <c r="P26" s="99"/>
      <c r="Q26" s="969" t="s">
        <v>290</v>
      </c>
    </row>
    <row r="27" spans="1:17" ht="15" customHeight="1" x14ac:dyDescent="0.2">
      <c r="A27" s="148" t="s">
        <v>291</v>
      </c>
      <c r="B27" s="141">
        <v>-34903.580999999998</v>
      </c>
      <c r="C27" s="140">
        <v>-80278.23629999999</v>
      </c>
      <c r="D27" s="140"/>
      <c r="E27" s="147">
        <f>C27-D27</f>
        <v>-80278.23629999999</v>
      </c>
      <c r="F27" s="146">
        <f t="shared" si="6"/>
        <v>3904</v>
      </c>
      <c r="G27" s="145">
        <v>0</v>
      </c>
      <c r="H27" s="140">
        <v>-5208.5407346326501</v>
      </c>
      <c r="I27" s="144">
        <v>0</v>
      </c>
      <c r="J27" s="143">
        <f t="shared" si="7"/>
        <v>0</v>
      </c>
      <c r="K27" s="142">
        <f t="shared" si="8"/>
        <v>-22588.037658020359</v>
      </c>
      <c r="L27" s="141"/>
      <c r="M27" s="140">
        <v>-104170.814692653</v>
      </c>
      <c r="N27" s="139">
        <f t="shared" si="9"/>
        <v>0.29762211396082972</v>
      </c>
      <c r="O27" s="138" t="s">
        <v>292</v>
      </c>
      <c r="P27" s="99"/>
      <c r="Q27" s="698" t="s">
        <v>293</v>
      </c>
    </row>
    <row r="28" spans="1:17" ht="15" customHeight="1" x14ac:dyDescent="0.2">
      <c r="A28" s="148" t="s">
        <v>294</v>
      </c>
      <c r="B28" s="151">
        <f>'5. Logistic Cost (LC)'!B8-'2. Variable (LC)'!B20</f>
        <v>-385810.04599999997</v>
      </c>
      <c r="C28" s="149">
        <f>'5. Logistic Cost (LC)'!C8-'2. Variable (LC)'!C20</f>
        <v>-680063.22940635262</v>
      </c>
      <c r="D28" s="149">
        <f>'5. Logistic Cost (LC)'!D8-'2. Variable (LC)'!D20</f>
        <v>-214468.57801014991</v>
      </c>
      <c r="E28" s="147">
        <f>'5. Logistic Cost (LC)'!E8-'2. Variable (LC)'!E20</f>
        <v>-465594.6513962028</v>
      </c>
      <c r="F28" s="146">
        <f t="shared" si="6"/>
        <v>22643</v>
      </c>
      <c r="G28" s="149">
        <f>'5. Logistic Cost (LC)'!G8-'2. Variable (LC)'!G20</f>
        <v>0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7"/>
        <v>0</v>
      </c>
      <c r="K28" s="142">
        <f t="shared" si="8"/>
        <v>126972.11317728239</v>
      </c>
      <c r="L28" s="150">
        <f>'5. Logistic Cost (LC)'!K8-'2. Variable (LC)'!L20</f>
        <v>0</v>
      </c>
      <c r="M28" s="149">
        <f>'5. Logistic Cost (LC)'!L8-'2. Variable (LC)'!M20</f>
        <v>-315979.53821892041</v>
      </c>
      <c r="N28" s="139">
        <f>IFERROR(M28/C28-1,0)</f>
        <v>-0.53536741209380145</v>
      </c>
      <c r="O28" s="138" t="s">
        <v>261</v>
      </c>
      <c r="P28" s="99"/>
      <c r="Q28" s="698" t="s">
        <v>295</v>
      </c>
    </row>
    <row r="29" spans="1:17" ht="15" customHeight="1" x14ac:dyDescent="0.2">
      <c r="A29" s="148" t="s">
        <v>296</v>
      </c>
      <c r="B29" s="141">
        <v>0</v>
      </c>
      <c r="C29" s="140">
        <v>0</v>
      </c>
      <c r="D29" s="140"/>
      <c r="E29" s="147">
        <f t="shared" ref="E29:E34" si="10">C29-D29</f>
        <v>0</v>
      </c>
      <c r="F29" s="146">
        <f t="shared" ref="F29" si="11">IF($C$6=0,0,ROUND($F$6/$E$6*E29,0))</f>
        <v>0</v>
      </c>
      <c r="G29" s="145">
        <v>0</v>
      </c>
      <c r="H29" s="140">
        <v>0</v>
      </c>
      <c r="I29" s="144">
        <v>0</v>
      </c>
      <c r="J29" s="143">
        <f t="shared" ref="J29" si="12">IFERROR((I29/(E29+F29+G29))*-1,0)</f>
        <v>0</v>
      </c>
      <c r="K29" s="142">
        <f t="shared" ref="K29" si="13">M29-SUM(E29:I29)</f>
        <v>0</v>
      </c>
      <c r="L29" s="968"/>
      <c r="M29" s="140">
        <v>0</v>
      </c>
      <c r="N29" s="139">
        <f t="shared" si="9"/>
        <v>0</v>
      </c>
      <c r="O29" s="138" t="s">
        <v>261</v>
      </c>
      <c r="P29" s="99"/>
      <c r="Q29" s="697" t="s">
        <v>297</v>
      </c>
    </row>
    <row r="30" spans="1:17" ht="15" customHeight="1" x14ac:dyDescent="0.2">
      <c r="A30" s="148" t="s">
        <v>298</v>
      </c>
      <c r="B30" s="141">
        <v>-16043.171</v>
      </c>
      <c r="C30" s="140">
        <v>-16043.171</v>
      </c>
      <c r="D30" s="140"/>
      <c r="E30" s="147">
        <f t="shared" si="10"/>
        <v>-16043.171</v>
      </c>
      <c r="F30" s="146">
        <f t="shared" si="6"/>
        <v>780</v>
      </c>
      <c r="G30" s="145">
        <v>0</v>
      </c>
      <c r="H30" s="140">
        <v>0</v>
      </c>
      <c r="I30" s="144">
        <v>0</v>
      </c>
      <c r="J30" s="143">
        <f t="shared" si="7"/>
        <v>0</v>
      </c>
      <c r="K30" s="142">
        <f t="shared" si="8"/>
        <v>15263.171</v>
      </c>
      <c r="L30" s="141"/>
      <c r="M30" s="140"/>
      <c r="N30" s="139">
        <f t="shared" si="9"/>
        <v>-1</v>
      </c>
      <c r="O30" s="138" t="s">
        <v>261</v>
      </c>
      <c r="P30" s="99"/>
      <c r="Q30" s="698" t="s">
        <v>299</v>
      </c>
    </row>
    <row r="31" spans="1:17" s="121" customFormat="1" ht="15" customHeight="1" x14ac:dyDescent="0.2">
      <c r="A31" s="130" t="s">
        <v>300</v>
      </c>
      <c r="B31" s="129">
        <f>'P&amp;L'!F44</f>
        <v>-34169.339999999997</v>
      </c>
      <c r="C31" s="124">
        <f>'P&amp;L'!H44</f>
        <v>-187369.769</v>
      </c>
      <c r="D31" s="127"/>
      <c r="E31" s="125">
        <f t="shared" si="10"/>
        <v>-187369.769</v>
      </c>
      <c r="F31" s="137">
        <f t="shared" si="6"/>
        <v>9112</v>
      </c>
      <c r="G31" s="136">
        <v>0</v>
      </c>
      <c r="H31" s="127">
        <v>0</v>
      </c>
      <c r="I31" s="135">
        <v>0</v>
      </c>
      <c r="J31" s="132">
        <f t="shared" si="7"/>
        <v>0</v>
      </c>
      <c r="K31" s="131">
        <f t="shared" si="8"/>
        <v>97145.683999999994</v>
      </c>
      <c r="L31" s="128">
        <v>-81112.085000000006</v>
      </c>
      <c r="M31" s="124">
        <f>'P&amp;L'!I44</f>
        <v>-81112.085000000006</v>
      </c>
      <c r="N31" s="123">
        <f t="shared" si="9"/>
        <v>-0.5671015370681276</v>
      </c>
      <c r="O31" s="138" t="s">
        <v>301</v>
      </c>
      <c r="P31" s="122"/>
      <c r="Q31" s="698" t="s">
        <v>302</v>
      </c>
    </row>
    <row r="32" spans="1:17" s="121" customFormat="1" ht="15" customHeight="1" x14ac:dyDescent="0.2">
      <c r="A32" s="130" t="s">
        <v>303</v>
      </c>
      <c r="B32" s="129">
        <f>'P&amp;L'!F49</f>
        <v>-101225.7</v>
      </c>
      <c r="C32" s="124">
        <f>'P&amp;L'!H49</f>
        <v>-64211.16</v>
      </c>
      <c r="D32" s="127"/>
      <c r="E32" s="125">
        <f t="shared" si="10"/>
        <v>-64211.16</v>
      </c>
      <c r="F32" s="129">
        <f t="shared" si="6"/>
        <v>3123</v>
      </c>
      <c r="G32" s="127">
        <v>0</v>
      </c>
      <c r="H32" s="127">
        <v>0</v>
      </c>
      <c r="I32" s="135">
        <v>0</v>
      </c>
      <c r="J32" s="132">
        <f t="shared" si="7"/>
        <v>0</v>
      </c>
      <c r="K32" s="131">
        <f t="shared" si="8"/>
        <v>-114287.48799999998</v>
      </c>
      <c r="L32" s="128">
        <v>-175375.64799999999</v>
      </c>
      <c r="M32" s="124">
        <f>'P&amp;L'!I49</f>
        <v>-175375.64799999999</v>
      </c>
      <c r="N32" s="123">
        <f t="shared" si="9"/>
        <v>1.7312331376664116</v>
      </c>
      <c r="O32" s="138" t="s">
        <v>301</v>
      </c>
      <c r="P32" s="122"/>
      <c r="Q32" s="698" t="s">
        <v>304</v>
      </c>
    </row>
    <row r="33" spans="1:17" s="121" customFormat="1" ht="18" customHeight="1" x14ac:dyDescent="0.2">
      <c r="A33" s="130" t="s">
        <v>305</v>
      </c>
      <c r="B33" s="129">
        <f>'P&amp;L'!F46</f>
        <v>-5747.29</v>
      </c>
      <c r="C33" s="124">
        <f>'P&amp;L'!H46</f>
        <v>-34122.71</v>
      </c>
      <c r="D33" s="127"/>
      <c r="E33" s="125">
        <f t="shared" si="10"/>
        <v>-34122.71</v>
      </c>
      <c r="F33" s="134"/>
      <c r="G33" s="127">
        <v>0</v>
      </c>
      <c r="H33" s="127">
        <v>0</v>
      </c>
      <c r="I33" s="133">
        <v>0</v>
      </c>
      <c r="J33" s="132">
        <f t="shared" si="7"/>
        <v>0</v>
      </c>
      <c r="K33" s="131">
        <f t="shared" si="8"/>
        <v>34122.71</v>
      </c>
      <c r="L33" s="128">
        <v>0</v>
      </c>
      <c r="M33" s="124">
        <f>'P&amp;L'!I46</f>
        <v>0</v>
      </c>
      <c r="N33" s="123">
        <f t="shared" si="9"/>
        <v>-1</v>
      </c>
      <c r="O33" s="138" t="s">
        <v>261</v>
      </c>
      <c r="P33" s="122"/>
      <c r="Q33" s="698" t="s">
        <v>306</v>
      </c>
    </row>
    <row r="34" spans="1:17" s="121" customFormat="1" ht="15" customHeight="1" x14ac:dyDescent="0.2">
      <c r="A34" s="130" t="s">
        <v>307</v>
      </c>
      <c r="B34" s="129">
        <f>B37-(B8+B15-B16+B17+B22+B31+B32+B33)</f>
        <v>0.38348000030964613</v>
      </c>
      <c r="C34" s="124">
        <f>C37-(C8+C15-C16+C17+C22+C31+C32+C33)</f>
        <v>0.2003940474241972</v>
      </c>
      <c r="D34" s="127"/>
      <c r="E34" s="125">
        <f t="shared" si="10"/>
        <v>0.2003940474241972</v>
      </c>
      <c r="F34" s="128">
        <v>0</v>
      </c>
      <c r="G34" s="127">
        <v>0</v>
      </c>
      <c r="H34" s="127">
        <v>0</v>
      </c>
      <c r="I34" s="127">
        <v>0</v>
      </c>
      <c r="J34" s="126">
        <f t="shared" si="7"/>
        <v>0</v>
      </c>
      <c r="K34" s="125">
        <f t="shared" si="8"/>
        <v>-0.3178754597902298</v>
      </c>
      <c r="L34" s="128">
        <v>0</v>
      </c>
      <c r="M34" s="124">
        <f>M37-(M8+M15-M16+M17+M22+M31+M32+M33)</f>
        <v>-0.1174814123660326</v>
      </c>
      <c r="N34" s="123">
        <f t="shared" si="9"/>
        <v>-1.5862520063649703</v>
      </c>
      <c r="O34" s="138" t="s">
        <v>261</v>
      </c>
      <c r="P34" s="122"/>
      <c r="Q34" s="698" t="s">
        <v>308</v>
      </c>
    </row>
    <row r="35" spans="1:17" ht="15" customHeight="1" x14ac:dyDescent="0.2">
      <c r="A35" s="79" t="s">
        <v>309</v>
      </c>
      <c r="B35" s="120">
        <f t="shared" ref="B35" si="14">SUM(B31:B34)</f>
        <v>-141141.94651999968</v>
      </c>
      <c r="C35" s="116">
        <f t="shared" ref="C35:I35" si="15">SUM(C31:C34)</f>
        <v>-285703.4386059526</v>
      </c>
      <c r="D35" s="116">
        <f t="shared" si="15"/>
        <v>0</v>
      </c>
      <c r="E35" s="118">
        <f t="shared" si="15"/>
        <v>-285703.4386059526</v>
      </c>
      <c r="F35" s="120">
        <f t="shared" si="15"/>
        <v>12235</v>
      </c>
      <c r="G35" s="116">
        <f t="shared" si="15"/>
        <v>0</v>
      </c>
      <c r="H35" s="116">
        <f t="shared" si="15"/>
        <v>0</v>
      </c>
      <c r="I35" s="116">
        <f t="shared" si="15"/>
        <v>0</v>
      </c>
      <c r="J35" s="119">
        <f t="shared" si="7"/>
        <v>0</v>
      </c>
      <c r="K35" s="118">
        <f>SUM(K31:K34)</f>
        <v>16980.58812454022</v>
      </c>
      <c r="L35" s="117">
        <f>SUM(L31:L34)</f>
        <v>-256487.73300000001</v>
      </c>
      <c r="M35" s="116">
        <f>SUM(M31:M34)</f>
        <v>-256487.85048141237</v>
      </c>
      <c r="N35" s="115">
        <f t="shared" si="9"/>
        <v>-0.10225844066523437</v>
      </c>
      <c r="O35" s="114"/>
      <c r="P35" s="99"/>
      <c r="Q35" s="99"/>
    </row>
    <row r="36" spans="1:17" ht="4.9000000000000004" customHeight="1" x14ac:dyDescent="0.25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52"/>
    </row>
    <row r="37" spans="1:17" ht="22.15" customHeight="1" x14ac:dyDescent="0.2">
      <c r="A37" s="109" t="s">
        <v>310</v>
      </c>
      <c r="B37" s="107">
        <f>'P&amp;L'!F17</f>
        <v>-7987206.3030000003</v>
      </c>
      <c r="C37" s="106">
        <f>'P&amp;L'!H17</f>
        <v>-15568258.146</v>
      </c>
      <c r="D37" s="106">
        <f>D8+D15-D16+D17+D22+D35</f>
        <v>-214468.57801014991</v>
      </c>
      <c r="E37" s="108">
        <f>C37-D37</f>
        <v>-15353789.56798985</v>
      </c>
      <c r="F37" s="107">
        <f>F8+F15-F16+F17+F22+F35</f>
        <v>745018</v>
      </c>
      <c r="G37" s="106">
        <f>G8+G15-G16+G17+G22+G35</f>
        <v>1115413.0804348718</v>
      </c>
      <c r="H37" s="106">
        <f>H8+H15-H16+H17+H22+H35</f>
        <v>85418.837700084725</v>
      </c>
      <c r="I37" s="106">
        <f>I8+I15-I16+I17+I22+I35</f>
        <v>0</v>
      </c>
      <c r="J37" s="106"/>
      <c r="K37" s="108">
        <f>M37-SUM(E37:I37)</f>
        <v>-142542.71114510484</v>
      </c>
      <c r="L37" s="107"/>
      <c r="M37" s="106">
        <f>'P&amp;L'!I17</f>
        <v>-13550482.361</v>
      </c>
      <c r="N37" s="105">
        <f>IFERROR(M37/C37-1,0)</f>
        <v>-0.1296083200880398</v>
      </c>
      <c r="O37" s="950"/>
      <c r="P37" s="99"/>
      <c r="Q37" s="99"/>
    </row>
    <row r="38" spans="1:17" ht="22.15" customHeight="1" x14ac:dyDescent="0.2">
      <c r="A38" s="104" t="s">
        <v>311</v>
      </c>
      <c r="B38" s="102">
        <f t="shared" ref="B38" si="16">B6+B37</f>
        <v>2168972.8849999988</v>
      </c>
      <c r="C38" s="101">
        <f>C6+C37</f>
        <v>5643511.5629999992</v>
      </c>
      <c r="D38" s="101">
        <f t="shared" ref="D38:I38" si="17">D6+D37</f>
        <v>-214468.57801014991</v>
      </c>
      <c r="E38" s="103">
        <f t="shared" si="17"/>
        <v>5857980.1410101485</v>
      </c>
      <c r="F38" s="102">
        <f t="shared" si="17"/>
        <v>-286541</v>
      </c>
      <c r="G38" s="101">
        <f t="shared" si="17"/>
        <v>1115413.0804348718</v>
      </c>
      <c r="H38" s="101">
        <f t="shared" si="17"/>
        <v>-782390.30621269532</v>
      </c>
      <c r="I38" s="101">
        <f t="shared" si="17"/>
        <v>0</v>
      </c>
      <c r="J38" s="101"/>
      <c r="K38" s="103">
        <f>K6+K37</f>
        <v>1116585.533767676</v>
      </c>
      <c r="L38" s="102"/>
      <c r="M38" s="101">
        <f>M6+M37</f>
        <v>7021047.4489999991</v>
      </c>
      <c r="N38" s="100">
        <f>IFERROR(M38/C38-1,0)</f>
        <v>0.2440919754699189</v>
      </c>
      <c r="O38" s="951"/>
      <c r="P38" s="99"/>
      <c r="Q38" s="99"/>
    </row>
    <row r="39" spans="1:17" ht="16.149999999999999" customHeight="1" x14ac:dyDescent="0.2">
      <c r="A39" s="944" t="s">
        <v>312</v>
      </c>
      <c r="B39" s="945">
        <f>IFERROR(B38/B$6,0)</f>
        <v>0.21356189614719892</v>
      </c>
      <c r="C39" s="946">
        <f>IFERROR(C38/C$6,0)</f>
        <v>0.26605566817018095</v>
      </c>
      <c r="D39" s="946">
        <f>IFERROR(D38/D$6,0)</f>
        <v>0</v>
      </c>
      <c r="E39" s="947">
        <f>IFERROR(E38/E$6,0)</f>
        <v>0.27616649725009274</v>
      </c>
      <c r="F39" s="945">
        <f>IFERROR(F38/F$6,0)</f>
        <v>0.27777470799052695</v>
      </c>
      <c r="G39" s="946"/>
      <c r="H39" s="946"/>
      <c r="I39" s="946"/>
      <c r="J39" s="946"/>
      <c r="K39" s="947"/>
      <c r="L39" s="945"/>
      <c r="M39" s="946">
        <f>IFERROR(M38/M$6, 0)</f>
        <v>0.34129923801714579</v>
      </c>
      <c r="N39" s="947"/>
      <c r="O39" s="98"/>
      <c r="P39" s="948"/>
      <c r="Q39" s="99"/>
    </row>
    <row r="41" spans="1:17" ht="12.75" customHeight="1" x14ac:dyDescent="0.2">
      <c r="M41" s="97"/>
    </row>
    <row r="42" spans="1:17" ht="13.5" customHeight="1" x14ac:dyDescent="0.2">
      <c r="A42" s="5" t="s">
        <v>313</v>
      </c>
      <c r="B42" s="96">
        <f>(+B35+B22+B17+B8+B15-B16)-B37</f>
        <v>0</v>
      </c>
      <c r="C42" s="96">
        <f t="shared" ref="C42:I42" si="18">(+C35+C22+C17+C8+C15-C16)-C37</f>
        <v>0</v>
      </c>
      <c r="D42" s="96">
        <f t="shared" si="18"/>
        <v>0</v>
      </c>
      <c r="E42" s="96">
        <f t="shared" si="18"/>
        <v>0</v>
      </c>
      <c r="F42" s="96">
        <f>(+F35+F22+F17+F8+F15-F16)-F37</f>
        <v>0</v>
      </c>
      <c r="G42" s="96">
        <f t="shared" si="18"/>
        <v>0</v>
      </c>
      <c r="H42" s="96">
        <f t="shared" si="18"/>
        <v>0</v>
      </c>
      <c r="I42" s="96">
        <f t="shared" si="18"/>
        <v>0</v>
      </c>
      <c r="J42" s="96"/>
      <c r="K42" s="96">
        <f>(+K35+K22+K17+K8+K15-K16)-K37</f>
        <v>-2.9103830456733704E-10</v>
      </c>
      <c r="L42" s="96">
        <f>(+L35+L22+L17+L8+L15-L16)-L37</f>
        <v>-256487.73300000001</v>
      </c>
      <c r="M42" s="96">
        <f>(+M35+M22+M17+M8+M15-M16)-M37</f>
        <v>0</v>
      </c>
    </row>
  </sheetData>
  <mergeCells count="3">
    <mergeCell ref="F4:K4"/>
    <mergeCell ref="L4:N4"/>
    <mergeCell ref="B4:E4"/>
  </mergeCells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85" zoomScaleNormal="85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N27" sqref="N27"/>
    </sheetView>
  </sheetViews>
  <sheetFormatPr defaultColWidth="9.28515625" defaultRowHeight="12.75" customHeight="1" outlineLevelCol="1" x14ac:dyDescent="0.2"/>
  <cols>
    <col min="1" max="1" width="64.28515625" style="5" bestFit="1" customWidth="1"/>
    <col min="2" max="2" width="19.7109375" style="5" customWidth="1"/>
    <col min="3" max="3" width="16.7109375" style="5" customWidth="1"/>
    <col min="4" max="4" width="16.7109375" style="5" hidden="1" customWidth="1" outlineLevel="1"/>
    <col min="5" max="5" width="19" style="5" hidden="1" customWidth="1" outlineLevel="1"/>
    <col min="6" max="6" width="16.7109375" style="5" customWidth="1" collapsed="1"/>
    <col min="7" max="9" width="16.7109375" style="5" customWidth="1"/>
    <col min="10" max="10" width="14.28515625" style="5" customWidth="1"/>
    <col min="11" max="11" width="16.7109375" style="5" customWidth="1"/>
    <col min="12" max="12" width="19.28515625" style="5" customWidth="1"/>
    <col min="13" max="13" width="16.7109375" style="5" hidden="1" customWidth="1" outlineLevel="1"/>
    <col min="14" max="14" width="16.7109375" style="5" customWidth="1" collapsed="1"/>
    <col min="15" max="15" width="16.7109375" style="5" customWidth="1"/>
    <col min="16" max="16" width="50.42578125" style="5" customWidth="1"/>
    <col min="17" max="17" width="2.28515625" style="5" customWidth="1"/>
    <col min="18" max="18" width="199.7109375" style="5" customWidth="1"/>
    <col min="19" max="19" width="9.28515625" style="5" customWidth="1"/>
    <col min="20" max="16384" width="9.28515625" style="5"/>
  </cols>
  <sheetData>
    <row r="1" spans="1:18" ht="19.899999999999999" customHeight="1" x14ac:dyDescent="0.25">
      <c r="A1" s="60" t="str">
        <f>+'0. Instructions'!A1</f>
        <v>Budget 2024</v>
      </c>
      <c r="B1" s="60"/>
      <c r="D1" s="218"/>
      <c r="E1" s="218"/>
      <c r="F1" s="218"/>
      <c r="G1" s="58"/>
      <c r="H1" s="60"/>
      <c r="I1" s="60"/>
      <c r="J1" s="60"/>
      <c r="K1" s="60"/>
      <c r="L1" s="218"/>
      <c r="M1" s="218"/>
      <c r="N1" s="218"/>
      <c r="O1" s="58"/>
      <c r="P1" s="57" t="str">
        <f>'Input-FX Rates'!$H$1</f>
        <v>Plant ICH Icheon (242)</v>
      </c>
      <c r="R1" s="56" t="s">
        <v>154</v>
      </c>
    </row>
    <row r="2" spans="1:18" ht="19.899999999999999" customHeight="1" thickBot="1" x14ac:dyDescent="0.3">
      <c r="A2" s="55" t="s">
        <v>240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217"/>
      <c r="N2" s="217"/>
      <c r="O2" s="54"/>
      <c r="P2" s="54" t="str">
        <f>'Input-FX Rates'!$H$2</f>
        <v>7521 &amp; 7522 PL Mechatronic Sensors (&amp; Electrification)</v>
      </c>
      <c r="R2" s="95" t="s">
        <v>156</v>
      </c>
    </row>
    <row r="3" spans="1:18" x14ac:dyDescent="0.2">
      <c r="M3" s="121"/>
      <c r="O3" s="216"/>
    </row>
    <row r="4" spans="1:18" ht="24" customHeight="1" x14ac:dyDescent="0.2">
      <c r="A4" s="187" t="str">
        <f>"Variable Cost"&amp;" in '000 EUR"</f>
        <v>Variable Cost in '000 EUR</v>
      </c>
      <c r="B4" s="1029">
        <v>2023</v>
      </c>
      <c r="C4" s="1027"/>
      <c r="D4" s="1027"/>
      <c r="E4" s="1030"/>
      <c r="F4" s="1029" t="s">
        <v>241</v>
      </c>
      <c r="G4" s="1027"/>
      <c r="H4" s="1027"/>
      <c r="I4" s="1027"/>
      <c r="J4" s="1027"/>
      <c r="K4" s="1030"/>
      <c r="L4" s="215" t="s">
        <v>314</v>
      </c>
      <c r="M4" s="1029">
        <v>2024</v>
      </c>
      <c r="N4" s="1027"/>
      <c r="O4" s="1030"/>
      <c r="P4" s="186" t="s">
        <v>208</v>
      </c>
    </row>
    <row r="5" spans="1:18" ht="54.75" customHeight="1" x14ac:dyDescent="0.2">
      <c r="A5" s="187"/>
      <c r="B5" s="645" t="s">
        <v>242</v>
      </c>
      <c r="C5" s="186" t="s">
        <v>19</v>
      </c>
      <c r="D5" s="186" t="s">
        <v>243</v>
      </c>
      <c r="E5" s="187" t="s">
        <v>315</v>
      </c>
      <c r="F5" s="645" t="s">
        <v>245</v>
      </c>
      <c r="G5" s="186" t="s">
        <v>246</v>
      </c>
      <c r="H5" s="186" t="s">
        <v>247</v>
      </c>
      <c r="I5" s="186" t="s">
        <v>248</v>
      </c>
      <c r="J5" s="186" t="s">
        <v>249</v>
      </c>
      <c r="K5" s="187" t="s">
        <v>250</v>
      </c>
      <c r="L5" s="215"/>
      <c r="M5" s="645" t="s">
        <v>251</v>
      </c>
      <c r="N5" s="186" t="s">
        <v>15</v>
      </c>
      <c r="O5" s="187" t="s">
        <v>316</v>
      </c>
      <c r="P5" s="186"/>
    </row>
    <row r="6" spans="1:18" ht="15.75" x14ac:dyDescent="0.2">
      <c r="A6" s="214" t="s">
        <v>195</v>
      </c>
      <c r="B6" s="185">
        <f>IFERROR('2. Variable (LC)'!B6/'Input-FX Rates'!$E$16,0)</f>
        <v>7249.997525078973</v>
      </c>
      <c r="C6" s="180">
        <f>IFERROR('2. Variable (LC)'!C6/'Input-FX Rates'!$G$16,0)</f>
        <v>15111.540802308424</v>
      </c>
      <c r="D6" s="180">
        <f>IFERROR('2. Variable (LC)'!D6/'Input-FX Rates'!$G$16,0)</f>
        <v>0</v>
      </c>
      <c r="E6" s="179">
        <f>IFERROR('2. Variable (LC)'!E6/'Input-FX Rates'!$G$16,0)</f>
        <v>15111.540802308424</v>
      </c>
      <c r="F6" s="120">
        <f>IFERROR('2. Variable (LC)'!F6/'Input-FX Rates'!$G$16,0)</f>
        <v>-734.89605687517962</v>
      </c>
      <c r="G6" s="116">
        <f>IFERROR('2. Variable (LC)'!G6/'Input-FX Rates'!$G$16,0)</f>
        <v>0</v>
      </c>
      <c r="H6" s="116">
        <f>IFERROR('2. Variable (LC)'!H6/'Input-FX Rates'!$G$16,0)</f>
        <v>-618.2385282681139</v>
      </c>
      <c r="I6" s="116">
        <f>IFERROR('2. Variable (LC)'!I6/'Input-FX Rates'!$G$16,0)</f>
        <v>0</v>
      </c>
      <c r="J6" s="116"/>
      <c r="K6" s="118">
        <f>IFERROR('2. Variable (LC)'!K6/'Input-FX Rates'!$G$16,0)</f>
        <v>897.01934866213958</v>
      </c>
      <c r="L6" s="191">
        <f>IFERROR(N6-'2. Variable (LC)'!M6/'Input-FX Rates'!$G$16,0)</f>
        <v>-468.16362789623599</v>
      </c>
      <c r="M6" s="185">
        <f>IFERROR('2. Variable (LC)'!L6/'Input-FX Rates'!$H$16,0)</f>
        <v>0</v>
      </c>
      <c r="N6" s="180">
        <f>IFERROR('2. Variable (LC)'!M6/'Input-FX Rates'!$H$16,0)</f>
        <v>14187.261937931033</v>
      </c>
      <c r="O6" s="115">
        <f>IFERROR(N6/C6-1,0)</f>
        <v>-6.1163773864555182E-2</v>
      </c>
      <c r="P6" s="949" t="str">
        <f>IF(ISBLANK('2. Variable (LC)'!O6),"",'2. Variable (LC)'!O6)</f>
        <v/>
      </c>
      <c r="Q6" s="99"/>
      <c r="R6" s="695"/>
    </row>
    <row r="7" spans="1:18" ht="15.75" x14ac:dyDescent="0.2">
      <c r="A7" s="213" t="s">
        <v>317</v>
      </c>
      <c r="B7" s="666">
        <f>IFERROR('2. Variable (LC)'!B7/'Input-FX Rates'!$E$16,0)</f>
        <v>7023.4249454821365</v>
      </c>
      <c r="C7" s="212">
        <f>IFERROR('2. Variable (LC)'!C7/'Input-FX Rates'!$G$16,0)</f>
        <v>13650.591395693606</v>
      </c>
      <c r="D7" s="212">
        <f>IFERROR('2. Variable (LC)'!D7/'Input-FX Rates'!$G$16,0)</f>
        <v>0</v>
      </c>
      <c r="E7" s="169">
        <f>IFERROR('2. Variable (LC)'!E7/'Input-FX Rates'!$G$16,0)</f>
        <v>13650.591395693606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69">
        <f>IFERROR('2. Variable (LC)'!K7/'Input-FX Rates'!$G$16,0)</f>
        <v>0</v>
      </c>
      <c r="L7" s="211">
        <f>IFERROR(N7-'2. Variable (LC)'!M7/'Input-FX Rates'!$G$16,0)</f>
        <v>-425.78074942887724</v>
      </c>
      <c r="M7" s="117">
        <f>IFERROR('2. Variable (LC)'!L7/'Input-FX Rates'!$H$16,0)</f>
        <v>0</v>
      </c>
      <c r="N7" s="116">
        <f>IFERROR('2. Variable (LC)'!M7/'Input-FX Rates'!$H$16,0)</f>
        <v>12902.888349999999</v>
      </c>
      <c r="O7" s="115">
        <f>IFERROR(N7/C7-1,0)</f>
        <v>-5.477440676522527E-2</v>
      </c>
      <c r="P7" s="937" t="str">
        <f>IF(ISBLANK('2. Variable (LC)'!O7),"",'2. Variable (LC)'!O7)</f>
        <v/>
      </c>
      <c r="Q7" s="99"/>
      <c r="R7" s="695"/>
    </row>
    <row r="8" spans="1:18" ht="15.75" x14ac:dyDescent="0.2">
      <c r="A8" s="200" t="s">
        <v>254</v>
      </c>
      <c r="B8" s="666">
        <f>IFERROR('2. Variable (LC)'!B8/'Input-FX Rates'!$E$16,0)</f>
        <v>-4595.6665521126361</v>
      </c>
      <c r="C8" s="212">
        <f>IFERROR('2. Variable (LC)'!C8/'Input-FX Rates'!$G$16,0)</f>
        <v>-8863.1086499244775</v>
      </c>
      <c r="D8" s="212">
        <f>IFERROR('2. Variable (LC)'!D8/'Input-FX Rates'!$G$16,0)</f>
        <v>0</v>
      </c>
      <c r="E8" s="169">
        <f>IFERROR('2. Variable (LC)'!E8/'Input-FX Rates'!$G$16,0)</f>
        <v>-8863.1086499244775</v>
      </c>
      <c r="F8" s="120">
        <f>IFERROR('2. Variable (LC)'!F8/'Input-FX Rates'!$G$16,0)</f>
        <v>431.02625930149588</v>
      </c>
      <c r="G8" s="116">
        <f>IFERROR('2. Variable (LC)'!G8/'Input-FX Rates'!$G$16,0)</f>
        <v>759.58188024231788</v>
      </c>
      <c r="H8" s="116">
        <f>IFERROR('2. Variable (LC)'!H8/'Input-FX Rates'!$G$16,0)</f>
        <v>105.58836407488177</v>
      </c>
      <c r="I8" s="116">
        <f>IFERROR('2. Variable (LC)'!I8/'Input-FX Rates'!$G$16,0)</f>
        <v>0</v>
      </c>
      <c r="J8" s="116"/>
      <c r="K8" s="169">
        <f>IFERROR('2. Variable (LC)'!K8/'Input-FX Rates'!$G$16,0)</f>
        <v>15.039565608727566</v>
      </c>
      <c r="L8" s="211">
        <f>IFERROR(N8-'2. Variable (LC)'!M8/'Input-FX Rates'!$G$16,0)</f>
        <v>241.24253839705216</v>
      </c>
      <c r="M8" s="117">
        <f>IFERROR('2. Variable (LC)'!L8/'Input-FX Rates'!$H$16,0)</f>
        <v>0</v>
      </c>
      <c r="N8" s="116">
        <f>IFERROR('2. Variable (LC)'!M8/'Input-FX Rates'!$H$16,0)</f>
        <v>-7310.6300423000012</v>
      </c>
      <c r="O8" s="115">
        <f>IFERROR(N8/C8-1,0)</f>
        <v>-0.17516186125482114</v>
      </c>
      <c r="P8" s="937" t="str">
        <f>IF(ISBLANK('2. Variable (LC)'!O8),"",'2. Variable (LC)'!O8)</f>
        <v/>
      </c>
      <c r="Q8" s="99"/>
      <c r="R8" s="685" t="s">
        <v>255</v>
      </c>
    </row>
    <row r="9" spans="1:18" x14ac:dyDescent="0.2">
      <c r="A9" s="84" t="s">
        <v>256</v>
      </c>
      <c r="B9" s="932">
        <f>IFERROR((B8+B15)/B6,0)</f>
        <v>-0.65802766431851989</v>
      </c>
      <c r="C9" s="933">
        <f>IFERROR((C8+C15)/C6,0)</f>
        <v>-0.61806742035792883</v>
      </c>
      <c r="D9" s="933">
        <f>IFERROR((D8+D15)/D6,0)</f>
        <v>0</v>
      </c>
      <c r="E9" s="934">
        <f>IFERROR((E8+E15)/E6,0)</f>
        <v>-0.61806742035792883</v>
      </c>
      <c r="F9" s="932">
        <f>IFERROR((F8+F15)/F6,0)</f>
        <v>-0.61806837999571518</v>
      </c>
      <c r="G9" s="935"/>
      <c r="H9" s="935"/>
      <c r="I9" s="935"/>
      <c r="J9" s="935"/>
      <c r="K9" s="934">
        <f>IFERROR((K8+K15)/K6,0)</f>
        <v>1.6766155190697213E-2</v>
      </c>
      <c r="L9" s="936">
        <f>IFERROR((L8+L15)/L6,0)</f>
        <v>-0.53916040173226953</v>
      </c>
      <c r="M9" s="932">
        <f>IFERROR((M8+M15)/M6,0)</f>
        <v>0</v>
      </c>
      <c r="N9" s="933">
        <f>IFERROR((N8+N15)/N6,0)</f>
        <v>-0.53916040173227231</v>
      </c>
      <c r="O9" s="934"/>
      <c r="P9" s="937" t="str">
        <f>IF(ISBLANK('2. Variable (LC)'!O9),"",'2. Variable (LC)'!O9)</f>
        <v/>
      </c>
      <c r="Q9" s="99"/>
      <c r="R9" s="99"/>
    </row>
    <row r="10" spans="1:18" ht="25.5" x14ac:dyDescent="0.2">
      <c r="A10" s="168" t="s">
        <v>257</v>
      </c>
      <c r="B10" s="146">
        <f>IFERROR('2. Variable (LC)'!B10/'Input-FX Rates'!$E$16,0)</f>
        <v>-4389.7072784193642</v>
      </c>
      <c r="C10" s="153">
        <f>IFERROR('2. Variable (LC)'!C10/'Input-FX Rates'!$G$16,0)</f>
        <v>-8532.2407157089219</v>
      </c>
      <c r="D10" s="153">
        <f>IFERROR('2. Variable (LC)'!D10/'Input-FX Rates'!$G$16,0)</f>
        <v>0</v>
      </c>
      <c r="E10" s="142">
        <f>IFERROR('2. Variable (LC)'!E10/'Input-FX Rates'!$G$16,0)</f>
        <v>-8532.2407157089219</v>
      </c>
      <c r="F10" s="146">
        <f>IFERROR('2. Variable (LC)'!F10/'Input-FX Rates'!$G$16,0)</f>
        <v>414.93498654187698</v>
      </c>
      <c r="G10" s="153">
        <f>IFERROR('2. Variable (LC)'!G10/'Input-FX Rates'!$G$16,0)</f>
        <v>490.8276325687703</v>
      </c>
      <c r="H10" s="153">
        <f>IFERROR('2. Variable (LC)'!H10/'Input-FX Rates'!$G$16,0)</f>
        <v>101.86508528930317</v>
      </c>
      <c r="I10" s="153">
        <f>IFERROR('2. Variable (LC)'!I10/'Input-FX Rates'!$G$16,0)</f>
        <v>0</v>
      </c>
      <c r="J10" s="153"/>
      <c r="K10" s="142">
        <f>IFERROR('2. Variable (LC)'!K10/'Input-FX Rates'!$G$16,0)</f>
        <v>5.7835469403094599E-4</v>
      </c>
      <c r="L10" s="938">
        <f>IFERROR(N10-'2. Variable (LC)'!M10/'Input-FX Rates'!$G$16,0)</f>
        <v>240.3717203094493</v>
      </c>
      <c r="M10" s="939">
        <f>IFERROR('2. Variable (LC)'!L10/'Input-FX Rates'!$H$16,0)</f>
        <v>0</v>
      </c>
      <c r="N10" s="153">
        <f>IFERROR('2. Variable (LC)'!M10/'Input-FX Rates'!$H$16,0)</f>
        <v>-7284.2407126448279</v>
      </c>
      <c r="O10" s="167">
        <f t="shared" ref="O10:O17" si="0">IFERROR(N10/C10-1,0)</f>
        <v>-0.1462687287720762</v>
      </c>
      <c r="P10" s="201" t="str">
        <f>IF(ISBLANK('2. Variable (LC)'!O10),"",'2. Variable (LC)'!O10)</f>
        <v>Volume decrease, material price drop, and product mix impact</v>
      </c>
      <c r="Q10" s="99"/>
      <c r="R10" s="696" t="s">
        <v>259</v>
      </c>
    </row>
    <row r="11" spans="1:18" x14ac:dyDescent="0.2">
      <c r="A11" s="148" t="s">
        <v>260</v>
      </c>
      <c r="B11" s="146">
        <f>IFERROR('2. Variable (LC)'!B11/'Input-FX Rates'!$E$16,0)</f>
        <v>-181.58653116996351</v>
      </c>
      <c r="C11" s="153">
        <f>IFERROR('2. Variable (LC)'!C11/'Input-FX Rates'!$G$16,0)</f>
        <v>-286.40606042912316</v>
      </c>
      <c r="D11" s="153">
        <f>IFERROR('2. Variable (LC)'!D11/'Input-FX Rates'!$G$16,0)</f>
        <v>0</v>
      </c>
      <c r="E11" s="142">
        <f>IFERROR('2. Variable (LC)'!E11/'Input-FX Rates'!$G$16,0)</f>
        <v>-286.40606042912316</v>
      </c>
      <c r="F11" s="146">
        <f>IFERROR('2. Variable (LC)'!F11/'Input-FX Rates'!$G$16,0)</f>
        <v>13.928386847448024</v>
      </c>
      <c r="G11" s="153">
        <f>IFERROR('2. Variable (LC)'!G11/'Input-FX Rates'!$G$16,0)</f>
        <v>268.75424767354764</v>
      </c>
      <c r="H11" s="153">
        <f>IFERROR('2. Variable (LC)'!H11/'Input-FX Rates'!$G$16,0)</f>
        <v>3.7232787855786005</v>
      </c>
      <c r="I11" s="153">
        <f>IFERROR('2. Variable (LC)'!I11/'Input-FX Rates'!$G$16,0)</f>
        <v>0</v>
      </c>
      <c r="J11" s="153"/>
      <c r="K11" s="142">
        <f>IFERROR('2. Variable (LC)'!K11/'Input-FX Rates'!$G$16,0)</f>
        <v>1.471225488813999E-4</v>
      </c>
      <c r="L11" s="938">
        <f>IFERROR(N11-'2. Variable (LC)'!M11/'Input-FX Rates'!$G$16,0)</f>
        <v>0</v>
      </c>
      <c r="M11" s="939">
        <f>IFERROR('2. Variable (LC)'!L11/'Input-FX Rates'!$H$16,0)</f>
        <v>0</v>
      </c>
      <c r="N11" s="153">
        <f>IFERROR('2. Variable (LC)'!M11/'Input-FX Rates'!$H$16,0)</f>
        <v>0</v>
      </c>
      <c r="O11" s="167">
        <f t="shared" si="0"/>
        <v>-1</v>
      </c>
      <c r="P11" s="201" t="str">
        <f>IF(ISBLANK('2. Variable (LC)'!O11),"",'2. Variable (LC)'!O11)</f>
        <v>-</v>
      </c>
      <c r="Q11" s="99"/>
      <c r="R11" s="685" t="s">
        <v>262</v>
      </c>
    </row>
    <row r="12" spans="1:18" x14ac:dyDescent="0.2">
      <c r="A12" s="148" t="s">
        <v>263</v>
      </c>
      <c r="B12" s="146">
        <f>IFERROR('2. Variable (LC)'!B12/'Input-FX Rates'!$E$16,0)</f>
        <v>-3.0757828813388945</v>
      </c>
      <c r="C12" s="153">
        <f>IFERROR('2. Variable (LC)'!C12/'Input-FX Rates'!$G$16,0)</f>
        <v>-3.0695874916346684</v>
      </c>
      <c r="D12" s="153">
        <f>IFERROR('2. Variable (LC)'!D12/'Input-FX Rates'!$G$16,0)</f>
        <v>0</v>
      </c>
      <c r="E12" s="142">
        <f>IFERROR('2. Variable (LC)'!E12/'Input-FX Rates'!$G$16,0)</f>
        <v>-3.0695874916346684</v>
      </c>
      <c r="F12" s="146">
        <f>IFERROR('2. Variable (LC)'!F12/'Input-FX Rates'!$G$16,0)</f>
        <v>0.14960673305529565</v>
      </c>
      <c r="G12" s="940">
        <f>IFERROR('2. Variable (LC)'!G12/'Input-FX Rates'!$G$16,0)</f>
        <v>0</v>
      </c>
      <c r="H12" s="940">
        <f>IFERROR('2. Variable (LC)'!H12/'Input-FX Rates'!$G$16,0)</f>
        <v>0</v>
      </c>
      <c r="I12" s="153">
        <f>IFERROR('2. Variable (LC)'!I12/'Input-FX Rates'!$G$16,0)</f>
        <v>0</v>
      </c>
      <c r="J12" s="153"/>
      <c r="K12" s="142">
        <f>IFERROR('2. Variable (LC)'!K12/'Input-FX Rates'!$G$16,0)</f>
        <v>2.9199807585793729</v>
      </c>
      <c r="L12" s="938">
        <f>IFERROR(N12-'2. Variable (LC)'!M12/'Input-FX Rates'!$G$16,0)</f>
        <v>0</v>
      </c>
      <c r="M12" s="939">
        <f>IFERROR('2. Variable (LC)'!L12/'Input-FX Rates'!$H$16,0)</f>
        <v>0</v>
      </c>
      <c r="N12" s="153">
        <f>IFERROR('2. Variable (LC)'!M12/'Input-FX Rates'!$H$16,0)</f>
        <v>0</v>
      </c>
      <c r="O12" s="167">
        <f t="shared" si="0"/>
        <v>-1</v>
      </c>
      <c r="P12" s="201" t="str">
        <f>IF(ISBLANK('2. Variable (LC)'!O12),"",'2. Variable (LC)'!O12)</f>
        <v>-</v>
      </c>
      <c r="Q12" s="99"/>
      <c r="R12" s="685" t="s">
        <v>264</v>
      </c>
    </row>
    <row r="13" spans="1:18" x14ac:dyDescent="0.2">
      <c r="A13" s="148" t="s">
        <v>265</v>
      </c>
      <c r="B13" s="146">
        <f>IFERROR('2. Variable (LC)'!B13/'Input-FX Rates'!$E$16,0)</f>
        <v>-21.296959641968943</v>
      </c>
      <c r="C13" s="153">
        <f>IFERROR('2. Variable (LC)'!C13/'Input-FX Rates'!$G$16,0)</f>
        <v>-41.392286294796477</v>
      </c>
      <c r="D13" s="153">
        <f>IFERROR('2. Variable (LC)'!D13/'Input-FX Rates'!$G$16,0)</f>
        <v>0</v>
      </c>
      <c r="E13" s="142">
        <f>IFERROR('2. Variable (LC)'!E13/'Input-FX Rates'!$G$16,0)</f>
        <v>-41.392286294796477</v>
      </c>
      <c r="F13" s="146">
        <f>IFERROR('2. Variable (LC)'!F13/'Input-FX Rates'!$G$16,0)</f>
        <v>2.0132791791155498</v>
      </c>
      <c r="G13" s="153">
        <f>IFERROR('2. Variable (LC)'!G13/'Input-FX Rates'!$G$16,0)</f>
        <v>0</v>
      </c>
      <c r="H13" s="153">
        <f>IFERROR('2. Variable (LC)'!H13/'Input-FX Rates'!$G$16,0)</f>
        <v>0</v>
      </c>
      <c r="I13" s="153">
        <f>IFERROR('2. Variable (LC)'!I13/'Input-FX Rates'!$G$16,0)</f>
        <v>0</v>
      </c>
      <c r="J13" s="153"/>
      <c r="K13" s="142">
        <f>IFERROR('2. Variable (LC)'!K13/'Input-FX Rates'!$G$16,0)</f>
        <v>12.11885937290528</v>
      </c>
      <c r="L13" s="938">
        <f>IFERROR(N13-'2. Variable (LC)'!M13/'Input-FX Rates'!$G$16,0)</f>
        <v>0.87081808760322943</v>
      </c>
      <c r="M13" s="939">
        <f>IFERROR('2. Variable (LC)'!L13/'Input-FX Rates'!$H$16,0)</f>
        <v>0</v>
      </c>
      <c r="N13" s="153">
        <f>IFERROR('2. Variable (LC)'!M13/'Input-FX Rates'!$H$16,0)</f>
        <v>-26.389329655172414</v>
      </c>
      <c r="O13" s="167">
        <f t="shared" si="0"/>
        <v>-0.3624577906321188</v>
      </c>
      <c r="P13" s="201" t="str">
        <f>IF(ISBLANK('2. Variable (LC)'!O13),"",'2. Variable (LC)'!O13)</f>
        <v>supplier tooling depreciation decrease</v>
      </c>
      <c r="Q13" s="99"/>
      <c r="R13" s="685" t="s">
        <v>267</v>
      </c>
    </row>
    <row r="14" spans="1:18" x14ac:dyDescent="0.2">
      <c r="A14" s="148" t="s">
        <v>268</v>
      </c>
      <c r="B14" s="146">
        <f>IFERROR('2. Variable (LC)'!B14/'Input-FX Rates'!$E$16,0)</f>
        <v>0</v>
      </c>
      <c r="C14" s="153">
        <f>IFERROR('2. Variable (LC)'!C14/'Input-FX Rates'!$G$16,0)</f>
        <v>0</v>
      </c>
      <c r="D14" s="153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3">
        <f>IFERROR('2. Variable (LC)'!G14/'Input-FX Rates'!$G$16,0)</f>
        <v>0</v>
      </c>
      <c r="H14" s="153">
        <f>IFERROR('2. Variable (LC)'!H14/'Input-FX Rates'!$G$16,0)</f>
        <v>0</v>
      </c>
      <c r="I14" s="940">
        <f>IFERROR('2. Variable (LC)'!I14/'Input-FX Rates'!$G$16,0)</f>
        <v>0</v>
      </c>
      <c r="J14" s="940"/>
      <c r="K14" s="142">
        <f>IFERROR('2. Variable (LC)'!K14/'Input-FX Rates'!$G$16,0)</f>
        <v>0</v>
      </c>
      <c r="L14" s="938">
        <f>IFERROR(N14-'2. Variable (LC)'!M14/'Input-FX Rates'!$G$16,0)</f>
        <v>0</v>
      </c>
      <c r="M14" s="939">
        <f>IFERROR('2. Variable (LC)'!L14/'Input-FX Rates'!$H$16,0)</f>
        <v>0</v>
      </c>
      <c r="N14" s="153">
        <f>IFERROR('2. Variable (LC)'!M14/'Input-FX Rates'!$H$16,0)</f>
        <v>0</v>
      </c>
      <c r="O14" s="167">
        <f t="shared" si="0"/>
        <v>0</v>
      </c>
      <c r="P14" s="201" t="str">
        <f>IF(ISBLANK('2. Variable (LC)'!O14),"",'2. Variable (LC)'!O14)</f>
        <v>-</v>
      </c>
      <c r="Q14" s="99"/>
      <c r="R14" s="685" t="s">
        <v>269</v>
      </c>
    </row>
    <row r="15" spans="1:18" s="159" customFormat="1" ht="15.75" x14ac:dyDescent="0.25">
      <c r="A15" s="163" t="s">
        <v>270</v>
      </c>
      <c r="B15" s="137">
        <f>IFERROR('2. Variable (LC)'!B15/'Input-FX Rates'!$E$16,0)</f>
        <v>-175.03238563013025</v>
      </c>
      <c r="C15" s="203">
        <f>IFERROR('2. Variable (LC)'!C15/'Input-FX Rates'!$G$16,0)</f>
        <v>-476.8423913918765</v>
      </c>
      <c r="D15" s="203">
        <f>IFERROR('2. Variable (LC)'!D15/'Input-FX Rates'!$G$16,0)</f>
        <v>0</v>
      </c>
      <c r="E15" s="131">
        <f>IFERROR('2. Variable (LC)'!E15/'Input-FX Rates'!$G$16,0)</f>
        <v>-476.8423913918765</v>
      </c>
      <c r="F15" s="137">
        <f>IFERROR('2. Variable (LC)'!F15/'Input-FX Rates'!$G$16,0)</f>
        <v>23.189756036585372</v>
      </c>
      <c r="G15" s="203">
        <f>IFERROR('2. Variable (LC)'!G15/'Input-FX Rates'!$G$16,0)</f>
        <v>103.90008042350148</v>
      </c>
      <c r="H15" s="203">
        <f>IFERROR('2. Variable (LC)'!H15/'Input-FX Rates'!$G$16,0)</f>
        <v>0</v>
      </c>
      <c r="I15" s="207">
        <f>IFERROR('2. Variable (LC)'!I15/'Input-FX Rates'!$G$16,0)</f>
        <v>0</v>
      </c>
      <c r="J15" s="207"/>
      <c r="K15" s="131">
        <f>IFERROR('2. Variable (LC)'!K15/'Input-FX Rates'!$G$16,0)</f>
        <v>0</v>
      </c>
      <c r="L15" s="205">
        <f>IFERROR(N15-'2. Variable (LC)'!M15/'Input-FX Rates'!$G$16,0)</f>
        <v>11.17275129591917</v>
      </c>
      <c r="M15" s="204">
        <f>IFERROR('2. Variable (LC)'!L15/'Input-FX Rates'!$H$16,0)</f>
        <v>0</v>
      </c>
      <c r="N15" s="203">
        <f>IFERROR('2. Variable (LC)'!M15/'Input-FX Rates'!$H$16,0)</f>
        <v>-338.57980363587046</v>
      </c>
      <c r="O15" s="202">
        <f t="shared" si="0"/>
        <v>-0.28995448024749904</v>
      </c>
      <c r="P15" s="201" t="str">
        <f>IF(ISBLANK('2. Variable (LC)'!O15),"",'2. Variable (LC)'!O15)</f>
        <v>Changchun, Boussens</v>
      </c>
      <c r="Q15" s="64"/>
      <c r="R15" s="685" t="s">
        <v>272</v>
      </c>
    </row>
    <row r="16" spans="1:18" x14ac:dyDescent="0.2">
      <c r="A16" s="148" t="s">
        <v>273</v>
      </c>
      <c r="B16" s="146">
        <f>IFERROR('2. Variable (LC)'!B16/'Input-FX Rates'!$E$16,0)</f>
        <v>-98.558169688609254</v>
      </c>
      <c r="C16" s="153">
        <f>IFERROR('2. Variable (LC)'!C16/'Input-FX Rates'!$G$16,0)</f>
        <v>-212.87887994197882</v>
      </c>
      <c r="D16" s="153">
        <f>IFERROR('2. Variable (LC)'!D16/'Input-FX Rates'!$G$16,0)</f>
        <v>0</v>
      </c>
      <c r="E16" s="142">
        <f>IFERROR('2. Variable (LC)'!E16/'Input-FX Rates'!$G$16,0)</f>
        <v>-212.87887994197882</v>
      </c>
      <c r="F16" s="146">
        <f>IFERROR('2. Variable (LC)'!F16/'Input-FX Rates'!$G$16,0)</f>
        <v>10.352785927426458</v>
      </c>
      <c r="G16" s="153">
        <f>IFERROR('2. Variable (LC)'!G16/'Input-FX Rates'!$G$16,0)</f>
        <v>68.847165565796232</v>
      </c>
      <c r="H16" s="153">
        <f>IFERROR('2. Variable (LC)'!H16/'Input-FX Rates'!$G$16,0)</f>
        <v>0</v>
      </c>
      <c r="I16" s="156">
        <f>IFERROR('2. Variable (LC)'!I16/'Input-FX Rates'!$G$16,0)</f>
        <v>0</v>
      </c>
      <c r="J16" s="156"/>
      <c r="K16" s="142">
        <f>IFERROR('2. Variable (LC)'!K16/'Input-FX Rates'!$G$16,0)</f>
        <v>0</v>
      </c>
      <c r="L16" s="938">
        <f>IFERROR(N16-'2. Variable (LC)'!M16/'Input-FX Rates'!$G$16,0)</f>
        <v>4.2703374142733992</v>
      </c>
      <c r="M16" s="939">
        <f>IFERROR('2. Variable (LC)'!L16/'Input-FX Rates'!$H$16,0)</f>
        <v>0</v>
      </c>
      <c r="N16" s="153">
        <f>IFERROR('2. Variable (LC)'!M16/'Input-FX Rates'!$H$16,0)</f>
        <v>-129.40859103448275</v>
      </c>
      <c r="O16" s="167">
        <f t="shared" si="0"/>
        <v>-0.39210225518964725</v>
      </c>
      <c r="P16" s="201" t="str">
        <f>IF(ISBLANK('2. Variable (LC)'!O16),"",'2. Variable (LC)'!O16)</f>
        <v>-</v>
      </c>
      <c r="Q16" s="99"/>
      <c r="R16" s="685" t="s">
        <v>274</v>
      </c>
    </row>
    <row r="17" spans="1:18" ht="15.75" x14ac:dyDescent="0.2">
      <c r="A17" s="200" t="s">
        <v>275</v>
      </c>
      <c r="B17" s="120">
        <f>IFERROR('2. Variable (LC)'!B17/'Input-FX Rates'!$E$16,0)</f>
        <v>-487.3406219031811</v>
      </c>
      <c r="C17" s="116">
        <f>IFERROR('2. Variable (LC)'!C17/'Input-FX Rates'!$G$16,0)</f>
        <v>-955.30915696692216</v>
      </c>
      <c r="D17" s="116">
        <f>IFERROR('2. Variable (LC)'!D17/'Input-FX Rates'!$G$16,0)</f>
        <v>0</v>
      </c>
      <c r="E17" s="118">
        <f>IFERROR('2. Variable (LC)'!E17/'Input-FX Rates'!$G$16,0)</f>
        <v>-955.30915696692216</v>
      </c>
      <c r="F17" s="120">
        <f>IFERROR('2. Variable (LC)'!F17/'Input-FX Rates'!$G$16,0)</f>
        <v>46.45787750477114</v>
      </c>
      <c r="G17" s="116">
        <f>IFERROR('2. Variable (LC)'!G17/'Input-FX Rates'!$G$16,0)</f>
        <v>0</v>
      </c>
      <c r="H17" s="116">
        <f>IFERROR('2. Variable (LC)'!H17/'Input-FX Rates'!$G$16,0)</f>
        <v>-35.228170484130828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-30.566600114667299</v>
      </c>
      <c r="L17" s="191">
        <f>IFERROR(N17-'2. Variable (LC)'!M17/'Input-FX Rates'!$G$16,0)</f>
        <v>31.134805923018121</v>
      </c>
      <c r="M17" s="117">
        <f>IFERROR('2. Variable (LC)'!L17/'Input-FX Rates'!$H$16,0)</f>
        <v>0</v>
      </c>
      <c r="N17" s="116">
        <f>IFERROR('2. Variable (LC)'!M17/'Input-FX Rates'!$H$16,0)</f>
        <v>-943.51124413793104</v>
      </c>
      <c r="O17" s="115">
        <f t="shared" si="0"/>
        <v>-1.2349837477167225E-2</v>
      </c>
      <c r="P17" s="937" t="str">
        <f>IF(ISBLANK('2. Variable (LC)'!O17),"",'2. Variable (LC)'!O17)</f>
        <v/>
      </c>
      <c r="Q17" s="99"/>
      <c r="R17" s="685"/>
    </row>
    <row r="18" spans="1:18" x14ac:dyDescent="0.2">
      <c r="A18" s="931" t="s">
        <v>198</v>
      </c>
      <c r="B18" s="932">
        <f>IFERROR(B17/B$6,0)</f>
        <v>-6.7219419071163425E-2</v>
      </c>
      <c r="C18" s="933">
        <f>IFERROR(C17/C$6,0)</f>
        <v>-6.32171907196247E-2</v>
      </c>
      <c r="D18" s="933">
        <f>IFERROR(D17/D$6,0)</f>
        <v>0</v>
      </c>
      <c r="E18" s="934">
        <f>IFERROR(E17/E$6,0)</f>
        <v>-6.32171907196247E-2</v>
      </c>
      <c r="F18" s="932">
        <f>IFERROR(F17/F$6,0)</f>
        <v>-6.3216936694847306E-2</v>
      </c>
      <c r="G18" s="935"/>
      <c r="H18" s="935"/>
      <c r="I18" s="935"/>
      <c r="J18" s="933"/>
      <c r="K18" s="941"/>
      <c r="L18" s="936"/>
      <c r="M18" s="933">
        <f>+'2. Variable (LC)'!L18</f>
        <v>0</v>
      </c>
      <c r="N18" s="933">
        <f>IFERROR(N17/N$6,0)</f>
        <v>-6.6504111100913796E-2</v>
      </c>
      <c r="O18" s="934"/>
      <c r="P18" s="937" t="str">
        <f>IF(ISBLANK('2. Variable (LC)'!O18),"",'2. Variable (LC)'!O18)</f>
        <v/>
      </c>
      <c r="Q18" s="99"/>
      <c r="R18" s="685"/>
    </row>
    <row r="19" spans="1:18" x14ac:dyDescent="0.2">
      <c r="A19" s="148" t="s">
        <v>276</v>
      </c>
      <c r="B19" s="146">
        <f>IFERROR('2. Variable (LC)'!B19/'Input-FX Rates'!$E$16,0)</f>
        <v>-418.62152780965323</v>
      </c>
      <c r="C19" s="153">
        <f>IFERROR('2. Variable (LC)'!C19/'Input-FX Rates'!$G$16,0)</f>
        <v>-811.93058183503251</v>
      </c>
      <c r="D19" s="153">
        <f>IFERROR('2. Variable (LC)'!D19/'Input-FX Rates'!$G$16,0)</f>
        <v>0</v>
      </c>
      <c r="E19" s="142">
        <f>IFERROR('2. Variable (LC)'!E19/'Input-FX Rates'!$G$16,0)</f>
        <v>-811.93058183503251</v>
      </c>
      <c r="F19" s="146">
        <f>IFERROR('2. Variable (LC)'!F19/'Input-FX Rates'!$G$16,0)</f>
        <v>39.485491331379812</v>
      </c>
      <c r="G19" s="153">
        <f>IFERROR('2. Variable (LC)'!G19/'Input-FX Rates'!$G$16,0)</f>
        <v>0</v>
      </c>
      <c r="H19" s="153">
        <f>IFERROR('2. Variable (LC)'!H19/'Input-FX Rates'!$G$16,0)</f>
        <v>-29.869368082022241</v>
      </c>
      <c r="I19" s="153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-24.071391683603597</v>
      </c>
      <c r="L19" s="938">
        <f>IFERROR(N19-'2. Variable (LC)'!M19/'Input-FX Rates'!$G$16,0)</f>
        <v>26.398673717554402</v>
      </c>
      <c r="M19" s="146">
        <f>IFERROR('2. Variable (LC)'!L19/'Input-FX Rates'!$H$16,0)</f>
        <v>0</v>
      </c>
      <c r="N19" s="153">
        <f>IFERROR('2. Variable (LC)'!M19/'Input-FX Rates'!$H$16,0)</f>
        <v>-799.98717655172413</v>
      </c>
      <c r="O19" s="167">
        <f>IFERROR(N19/C19-1,0)</f>
        <v>-1.4709884749402158E-2</v>
      </c>
      <c r="P19" s="942" t="str">
        <f>IF(ISBLANK('2. Variable (LC)'!O19),"",'2. Variable (LC)'!O19)</f>
        <v>1 operator HC increase(quality inspector)</v>
      </c>
      <c r="Q19" s="99"/>
      <c r="R19" s="685" t="s">
        <v>278</v>
      </c>
    </row>
    <row r="20" spans="1:18" x14ac:dyDescent="0.2">
      <c r="A20" s="148" t="s">
        <v>279</v>
      </c>
      <c r="B20" s="146">
        <f>IFERROR('2. Variable (LC)'!B20/'Input-FX Rates'!$E$16,0)</f>
        <v>-68.719094093527801</v>
      </c>
      <c r="C20" s="153">
        <f>IFERROR('2. Variable (LC)'!C20/'Input-FX Rates'!$G$16,0)</f>
        <v>-143.37857513188953</v>
      </c>
      <c r="D20" s="153">
        <f>IFERROR('2. Variable (LC)'!D20/'Input-FX Rates'!$G$16,0)</f>
        <v>0</v>
      </c>
      <c r="E20" s="142">
        <f>IFERROR('2. Variable (LC)'!E20/'Input-FX Rates'!$G$16,0)</f>
        <v>-143.37857513188953</v>
      </c>
      <c r="F20" s="146">
        <f>IFERROR('2. Variable (LC)'!F20/'Input-FX Rates'!$G$16,0)</f>
        <v>6.9723861733913255</v>
      </c>
      <c r="G20" s="153">
        <f>IFERROR('2. Variable (LC)'!G20/'Input-FX Rates'!$G$16,0)</f>
        <v>0</v>
      </c>
      <c r="H20" s="153">
        <f>IFERROR('2. Variable (LC)'!H20/'Input-FX Rates'!$G$16,0)</f>
        <v>-5.3588024021085872</v>
      </c>
      <c r="I20" s="153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-6.4952084310637028</v>
      </c>
      <c r="L20" s="938">
        <f>IFERROR(N20-'2. Variable (LC)'!M20/'Input-FX Rates'!$G$16,0)</f>
        <v>4.7361322054636048</v>
      </c>
      <c r="M20" s="146">
        <f>IFERROR('2. Variable (LC)'!L20/'Input-FX Rates'!$H$16,0)</f>
        <v>0</v>
      </c>
      <c r="N20" s="153">
        <f>IFERROR('2. Variable (LC)'!M20/'Input-FX Rates'!$H$16,0)</f>
        <v>-143.52406758620688</v>
      </c>
      <c r="O20" s="167">
        <f>IFERROR(N20/C20-1,0)</f>
        <v>1.0147433407223794E-3</v>
      </c>
      <c r="P20" s="942" t="str">
        <f>IF(ISBLANK('2. Variable (LC)'!O20),"",'2. Variable (LC)'!O20)</f>
        <v>-</v>
      </c>
      <c r="Q20" s="99"/>
      <c r="R20" s="697" t="s">
        <v>280</v>
      </c>
    </row>
    <row r="21" spans="1:18" x14ac:dyDescent="0.2">
      <c r="A21" s="148" t="s">
        <v>281</v>
      </c>
      <c r="B21" s="146">
        <f>IFERROR('2. Variable (LC)'!B21/'Input-FX Rates'!$E$16,0)</f>
        <v>0</v>
      </c>
      <c r="C21" s="153">
        <f>IFERROR('2. Variable (LC)'!C21/'Input-FX Rates'!$G$16,0)</f>
        <v>0</v>
      </c>
      <c r="D21" s="153">
        <f>IFERROR('2. Variable (LC)'!D21/'Input-FX Rates'!$G$16,0)</f>
        <v>0</v>
      </c>
      <c r="E21" s="142">
        <f>IFERROR('2. Variable (LC)'!E21/'Input-FX Rates'!$G$16,0)</f>
        <v>0</v>
      </c>
      <c r="F21" s="146">
        <f>IFERROR('2. Variable (LC)'!F21/'Input-FX Rates'!$G$16,0)</f>
        <v>0</v>
      </c>
      <c r="G21" s="153">
        <f>IFERROR('2. Variable (LC)'!G21/'Input-FX Rates'!$G$16,0)</f>
        <v>0</v>
      </c>
      <c r="H21" s="153">
        <f>IFERROR('2. Variable (LC)'!H21/'Input-FX Rates'!$G$16,0)</f>
        <v>0</v>
      </c>
      <c r="I21" s="153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0</v>
      </c>
      <c r="L21" s="938">
        <f>IFERROR(N21-'2. Variable (LC)'!M21/'Input-FX Rates'!$G$16,0)</f>
        <v>0</v>
      </c>
      <c r="M21" s="146">
        <f>IFERROR('2. Variable (LC)'!L21/'Input-FX Rates'!$H$16,0)</f>
        <v>0</v>
      </c>
      <c r="N21" s="153">
        <f>IFERROR('2. Variable (LC)'!M21/'Input-FX Rates'!$H$16,0)</f>
        <v>0</v>
      </c>
      <c r="O21" s="167">
        <f>IFERROR(N21/C21-1,0)</f>
        <v>0</v>
      </c>
      <c r="P21" s="942"/>
      <c r="Q21" s="99"/>
      <c r="R21" s="697" t="s">
        <v>282</v>
      </c>
    </row>
    <row r="22" spans="1:18" ht="15.75" x14ac:dyDescent="0.2">
      <c r="A22" s="200" t="s">
        <v>283</v>
      </c>
      <c r="B22" s="120">
        <f>IFERROR('2. Variable (LC)'!B22/'Input-FX Rates'!$E$16,0)</f>
        <v>-441.43861284267143</v>
      </c>
      <c r="C22" s="116">
        <f>IFERROR('2. Variable (LC)'!C22/'Input-FX Rates'!$G$16,0)</f>
        <v>-805.10955076371795</v>
      </c>
      <c r="D22" s="116">
        <f>IFERROR('2. Variable (LC)'!D22/'Input-FX Rates'!$G$16,0)</f>
        <v>-152.79020618625404</v>
      </c>
      <c r="E22" s="118">
        <f>IFERROR('2. Variable (LC)'!E22/'Input-FX Rates'!$G$16,0)</f>
        <v>-652.31934457746399</v>
      </c>
      <c r="F22" s="120">
        <f>IFERROR('2. Variable (LC)'!F22/'Input-FX Rates'!$G$16,0)</f>
        <v>31.723039124853617</v>
      </c>
      <c r="G22" s="116">
        <f>IFERROR('2. Variable (LC)'!G22/'Input-FX Rates'!$G$16,0)</f>
        <v>0</v>
      </c>
      <c r="H22" s="116">
        <f>IFERROR('2. Variable (LC)'!H22/'Input-FX Rates'!$G$16,0)</f>
        <v>-9.5067019255595149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-98.119440017554879</v>
      </c>
      <c r="L22" s="191">
        <f>IFERROR(N22-'2. Variable (LC)'!M22/'Input-FX Rates'!$G$16,0)</f>
        <v>23.262870215329258</v>
      </c>
      <c r="M22" s="117">
        <f>IFERROR('2. Variable (LC)'!L22/'Input-FX Rates'!$H$16,0)</f>
        <v>0</v>
      </c>
      <c r="N22" s="116">
        <f>IFERROR('2. Variable (LC)'!M22/'Input-FX Rates'!$H$16,0)</f>
        <v>-704.9595771803954</v>
      </c>
      <c r="O22" s="199">
        <f>IFERROR(N22/C22-1,0)</f>
        <v>-0.12439297669282567</v>
      </c>
      <c r="P22" s="937" t="str">
        <f>IF(ISBLANK('2. Variable (LC)'!O22),"",'2. Variable (LC)'!O22)</f>
        <v/>
      </c>
      <c r="Q22" s="99"/>
      <c r="R22" s="99"/>
    </row>
    <row r="23" spans="1:18" x14ac:dyDescent="0.2">
      <c r="A23" s="931" t="s">
        <v>198</v>
      </c>
      <c r="B23" s="932">
        <f>IFERROR(B22/B$6,0)</f>
        <v>-6.0888105315299805E-2</v>
      </c>
      <c r="C23" s="933">
        <f>IFERROR(C22/C$6,0)</f>
        <v>-5.3277793528554697E-2</v>
      </c>
      <c r="D23" s="933">
        <f>IFERROR(D22/D$6,0)</f>
        <v>0</v>
      </c>
      <c r="E23" s="934">
        <f>IFERROR(E22/E$6,0)</f>
        <v>-4.3166964448642875E-2</v>
      </c>
      <c r="F23" s="932">
        <f>IFERROR(F22/F$6,0)</f>
        <v>-4.3166702050003926E-2</v>
      </c>
      <c r="G23" s="935"/>
      <c r="H23" s="935"/>
      <c r="I23" s="935"/>
      <c r="J23" s="933"/>
      <c r="K23" s="941"/>
      <c r="L23" s="936"/>
      <c r="M23" s="933">
        <f>+'2. Variable (LC)'!L23</f>
        <v>0</v>
      </c>
      <c r="N23" s="933">
        <f>IFERROR(N22/N$6,0)</f>
        <v>-4.9689614547513007E-2</v>
      </c>
      <c r="O23" s="934"/>
      <c r="P23" s="937" t="str">
        <f>IF(ISBLANK('2. Variable (LC)'!O23),"",'2. Variable (LC)'!O23)</f>
        <v/>
      </c>
      <c r="Q23" s="99"/>
      <c r="R23" s="99"/>
    </row>
    <row r="24" spans="1:18" x14ac:dyDescent="0.2">
      <c r="A24" s="148" t="s">
        <v>284</v>
      </c>
      <c r="B24" s="146">
        <f>IFERROR('2. Variable (LC)'!B24/'Input-FX Rates'!$E$16,0)</f>
        <v>0</v>
      </c>
      <c r="C24" s="153">
        <f>IFERROR('2. Variable (LC)'!C24/'Input-FX Rates'!$G$16,0)</f>
        <v>0</v>
      </c>
      <c r="D24" s="153">
        <f>IFERROR('2. Variable (LC)'!D24/'Input-FX Rates'!$G$16,0)</f>
        <v>0</v>
      </c>
      <c r="E24" s="142">
        <f>IFERROR('2. Variable (LC)'!E24/'Input-FX Rates'!$G$16,0)</f>
        <v>0</v>
      </c>
      <c r="F24" s="146">
        <f>IFERROR('2. Variable (LC)'!F24/'Input-FX Rates'!$G$16,0)</f>
        <v>0</v>
      </c>
      <c r="G24" s="153">
        <f>IFERROR('2. Variable (LC)'!G24/'Input-FX Rates'!$G$16,0)</f>
        <v>0</v>
      </c>
      <c r="H24" s="153">
        <f>IFERROR('2. Variable (LC)'!H24/'Input-FX Rates'!$G$16,0)</f>
        <v>0</v>
      </c>
      <c r="I24" s="153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38">
        <f>IFERROR(N24-'2. Variable (LC)'!M24/'Input-FX Rates'!$G$16,0)</f>
        <v>0</v>
      </c>
      <c r="M24" s="939">
        <f>IFERROR('2. Variable (LC)'!L24/'Input-FX Rates'!$H$16,0)</f>
        <v>0</v>
      </c>
      <c r="N24" s="153">
        <f>IFERROR('2. Variable (LC)'!M24/'Input-FX Rates'!$H$16,0)</f>
        <v>0</v>
      </c>
      <c r="O24" s="167">
        <f t="shared" ref="O24:O35" si="1">IFERROR(N24/C24-1,0)</f>
        <v>0</v>
      </c>
      <c r="P24" s="201" t="str">
        <f>IF(ISBLANK('2. Variable (LC)'!O24),"",'2. Variable (LC)'!O24)</f>
        <v>-</v>
      </c>
      <c r="Q24" s="99"/>
      <c r="R24" s="698" t="s">
        <v>285</v>
      </c>
    </row>
    <row r="25" spans="1:18" x14ac:dyDescent="0.2">
      <c r="A25" s="148" t="s">
        <v>286</v>
      </c>
      <c r="B25" s="146">
        <f>IFERROR('2. Variable (LC)'!B25/'Input-FX Rates'!$E$16,0)</f>
        <v>-13.465158701401869</v>
      </c>
      <c r="C25" s="153">
        <f>IFERROR('2. Variable (LC)'!C25/'Input-FX Rates'!$G$16,0)</f>
        <v>-26.170576145289051</v>
      </c>
      <c r="D25" s="153">
        <f>IFERROR('2. Variable (LC)'!D25/'Input-FX Rates'!$G$16,0)</f>
        <v>0</v>
      </c>
      <c r="E25" s="142">
        <f>IFERROR('2. Variable (LC)'!E25/'Input-FX Rates'!$G$16,0)</f>
        <v>-26.170576145289051</v>
      </c>
      <c r="F25" s="146">
        <f>IFERROR('2. Variable (LC)'!F25/'Input-FX Rates'!$G$16,0)</f>
        <v>1.272369643984562</v>
      </c>
      <c r="G25" s="153">
        <f>IFERROR('2. Variable (LC)'!G25/'Input-FX Rates'!$G$16,0)</f>
        <v>0</v>
      </c>
      <c r="H25" s="153">
        <f>IFERROR('2. Variable (LC)'!H25/'Input-FX Rates'!$G$16,0)</f>
        <v>-0.60192325134164815</v>
      </c>
      <c r="I25" s="153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-12.37516639566298</v>
      </c>
      <c r="L25" s="938">
        <f>IFERROR(N25-'2. Variable (LC)'!M25/'Input-FX Rates'!$G$16,0)</f>
        <v>1.2099161483091194</v>
      </c>
      <c r="M25" s="939">
        <f>IFERROR('2. Variable (LC)'!L25/'Input-FX Rates'!$H$16,0)</f>
        <v>0</v>
      </c>
      <c r="N25" s="153">
        <f>IFERROR('2. Variable (LC)'!M25/'Input-FX Rates'!$H$16,0)</f>
        <v>-36.665379999999999</v>
      </c>
      <c r="O25" s="167">
        <f t="shared" si="1"/>
        <v>0.40101539211241666</v>
      </c>
      <c r="P25" s="201" t="str">
        <f>IF(ISBLANK('2. Variable (LC)'!O25),"",'2. Variable (LC)'!O25)</f>
        <v>shortened replacement time for major spareparts(e.g. test probe, welding tips)is necessary in 2024 due to the old equipment. 10K€</v>
      </c>
      <c r="Q25" s="99"/>
      <c r="R25" s="698" t="s">
        <v>288</v>
      </c>
    </row>
    <row r="26" spans="1:18" x14ac:dyDescent="0.2">
      <c r="A26" s="148" t="s">
        <v>289</v>
      </c>
      <c r="B26" s="146">
        <f>IFERROR('2. Variable (LC)'!B26/'Input-FX Rates'!$E$16,0)</f>
        <v>-116.19422634832478</v>
      </c>
      <c r="C26" s="153">
        <f>IFERROR('2. Variable (LC)'!C26/'Input-FX Rates'!$G$16,0)</f>
        <v>-225.83245513290515</v>
      </c>
      <c r="D26" s="153">
        <f>IFERROR('2. Variable (LC)'!D26/'Input-FX Rates'!$G$16,0)</f>
        <v>0</v>
      </c>
      <c r="E26" s="142">
        <f>IFERROR('2. Variable (LC)'!E26/'Input-FX Rates'!$G$16,0)</f>
        <v>-225.83245513290515</v>
      </c>
      <c r="F26" s="146">
        <f>IFERROR('2. Variable (LC)'!F26/'Input-FX Rates'!$G$16,0)</f>
        <v>10.982559032287798</v>
      </c>
      <c r="G26" s="153">
        <f>IFERROR('2. Variable (LC)'!G26/'Input-FX Rates'!$G$16,0)</f>
        <v>0</v>
      </c>
      <c r="H26" s="153">
        <f>IFERROR('2. Variable (LC)'!H26/'Input-FX Rates'!$G$16,0)</f>
        <v>-5.1941464680568181</v>
      </c>
      <c r="I26" s="153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-170.9825291971699</v>
      </c>
      <c r="L26" s="938">
        <f>IFERROR(N26-'2. Variable (LC)'!M26/'Input-FX Rates'!$G$16,0)</f>
        <v>12.491238662395745</v>
      </c>
      <c r="M26" s="939">
        <f>IFERROR('2. Variable (LC)'!L26/'Input-FX Rates'!$H$16,0)</f>
        <v>0</v>
      </c>
      <c r="N26" s="153">
        <f>IFERROR('2. Variable (LC)'!M26/'Input-FX Rates'!$H$16,0)</f>
        <v>-378.53533310344829</v>
      </c>
      <c r="O26" s="167">
        <f t="shared" si="1"/>
        <v>0.67617773486399746</v>
      </c>
      <c r="P26" s="201" t="str">
        <f>IF(ISBLANK('2. Variable (LC)'!O26),"",'2. Variable (LC)'!O26)</f>
        <v>Technician HC 2 increase impact &amp; General Maintenance cost increase impact</v>
      </c>
      <c r="Q26" s="99"/>
      <c r="R26" s="969" t="s">
        <v>290</v>
      </c>
    </row>
    <row r="27" spans="1:18" x14ac:dyDescent="0.2">
      <c r="A27" s="148" t="s">
        <v>291</v>
      </c>
      <c r="B27" s="146">
        <f>IFERROR('2. Variable (LC)'!B27/'Input-FX Rates'!$E$16,0)</f>
        <v>-24.915952267303922</v>
      </c>
      <c r="C27" s="153">
        <f>IFERROR('2. Variable (LC)'!C27/'Input-FX Rates'!$G$16,0)</f>
        <v>-57.191260325162105</v>
      </c>
      <c r="D27" s="153">
        <f>IFERROR('2. Variable (LC)'!D27/'Input-FX Rates'!$G$16,0)</f>
        <v>0</v>
      </c>
      <c r="E27" s="142">
        <f>IFERROR('2. Variable (LC)'!E27/'Input-FX Rates'!$G$16,0)</f>
        <v>-57.191260325162105</v>
      </c>
      <c r="F27" s="146">
        <f>IFERROR('2. Variable (LC)'!F27/'Input-FX Rates'!$G$16,0)</f>
        <v>2.7812604087994006</v>
      </c>
      <c r="G27" s="153">
        <f>IFERROR('2. Variable (LC)'!G27/'Input-FX Rates'!$G$16,0)</f>
        <v>0</v>
      </c>
      <c r="H27" s="153">
        <f>IFERROR('2. Variable (LC)'!H27/'Input-FX Rates'!$G$16,0)</f>
        <v>-3.7106322061610491</v>
      </c>
      <c r="I27" s="153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-16.092012000697224</v>
      </c>
      <c r="L27" s="938">
        <f>IFERROR(N27-'2. Variable (LC)'!M27/'Input-FX Rates'!$G$16,0)</f>
        <v>2.37070295587408</v>
      </c>
      <c r="M27" s="939">
        <f>IFERROR('2. Variable (LC)'!L27/'Input-FX Rates'!$H$16,0)</f>
        <v>0</v>
      </c>
      <c r="N27" s="153">
        <f>IFERROR('2. Variable (LC)'!M27/'Input-FX Rates'!$H$16,0)</f>
        <v>-71.841941167346903</v>
      </c>
      <c r="O27" s="167">
        <f t="shared" si="1"/>
        <v>0.25616992454595411</v>
      </c>
      <c r="P27" s="201" t="str">
        <f>IF(ISBLANK('2. Variable (LC)'!O27),"",'2. Variable (LC)'!O27)</f>
        <v>Occupied space increase 180 → 250sqm(39% increase, function test &amp; packaging spaces due to the quality issue) &amp; electricity tariff increase 5% compared to 2023</v>
      </c>
      <c r="Q27" s="99"/>
      <c r="R27" s="698" t="s">
        <v>293</v>
      </c>
    </row>
    <row r="28" spans="1:18" x14ac:dyDescent="0.2">
      <c r="A28" s="148" t="s">
        <v>294</v>
      </c>
      <c r="B28" s="146">
        <f>IFERROR('2. Variable (LC)'!B28/'Input-FX Rates'!$E$16,0)</f>
        <v>-275.41084367195242</v>
      </c>
      <c r="C28" s="153">
        <f>IFERROR('2. Variable (LC)'!C28/'Input-FX Rates'!$G$16,0)</f>
        <v>-484.48589534532607</v>
      </c>
      <c r="D28" s="153">
        <f>IFERROR('2. Variable (LC)'!D28/'Input-FX Rates'!$G$16,0)</f>
        <v>-152.79020618625404</v>
      </c>
      <c r="E28" s="142">
        <f>IFERROR('2. Variable (LC)'!E28/'Input-FX Rates'!$G$16,0)</f>
        <v>-331.69568915907212</v>
      </c>
      <c r="F28" s="146">
        <f>IFERROR('2. Variable (LC)'!F28/'Input-FX Rates'!$G$16,0)</f>
        <v>16.131167888433616</v>
      </c>
      <c r="G28" s="153">
        <f>IFERROR('2. Variable (LC)'!G28/'Input-FX Rates'!$G$16,0)</f>
        <v>0</v>
      </c>
      <c r="H28" s="153">
        <f>IFERROR('2. Variable (LC)'!H28/'Input-FX Rates'!$G$16,0)</f>
        <v>0</v>
      </c>
      <c r="I28" s="153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90.456585912287963</v>
      </c>
      <c r="L28" s="938">
        <f>IFERROR(N28-'2. Variable (LC)'!M28/'Input-FX Rates'!$G$16,0)</f>
        <v>7.1910124487502571</v>
      </c>
      <c r="M28" s="146">
        <f>IFERROR('2. Variable (LC)'!L28/'Input-FX Rates'!$H$16,0)</f>
        <v>0</v>
      </c>
      <c r="N28" s="153">
        <f>IFERROR('2. Variable (LC)'!M28/'Input-FX Rates'!$H$16,0)</f>
        <v>-217.91692290960029</v>
      </c>
      <c r="O28" s="167">
        <f t="shared" si="1"/>
        <v>-0.55020997514432057</v>
      </c>
      <c r="P28" s="201" t="str">
        <f>IF(ISBLANK('2. Variable (LC)'!O28),"",'2. Variable (LC)'!O28)</f>
        <v>-</v>
      </c>
      <c r="Q28" s="99"/>
      <c r="R28" s="698" t="s">
        <v>295</v>
      </c>
    </row>
    <row r="29" spans="1:18" x14ac:dyDescent="0.2">
      <c r="A29" s="148" t="s">
        <v>296</v>
      </c>
      <c r="B29" s="146">
        <f>IFERROR('2. Variable (LC)'!B29/'Input-FX Rates'!$E$16,0)</f>
        <v>0</v>
      </c>
      <c r="C29" s="153">
        <f>IFERROR('2. Variable (LC)'!C29/'Input-FX Rates'!$G$16,0)</f>
        <v>0</v>
      </c>
      <c r="D29" s="153">
        <f>IFERROR('2. Variable (LC)'!D29/'Input-FX Rates'!$G$16,0)</f>
        <v>0</v>
      </c>
      <c r="E29" s="142">
        <f>IFERROR('2. Variable (LC)'!E29/'Input-FX Rates'!$G$16,0)</f>
        <v>0</v>
      </c>
      <c r="F29" s="146">
        <f>IFERROR('2. Variable (LC)'!F29/'Input-FX Rates'!$G$16,0)</f>
        <v>0</v>
      </c>
      <c r="G29" s="153">
        <f>IFERROR('2. Variable (LC)'!G29/'Input-FX Rates'!$G$16,0)</f>
        <v>0</v>
      </c>
      <c r="H29" s="153">
        <f>IFERROR('2. Variable (LC)'!H29/'Input-FX Rates'!$G$16,0)</f>
        <v>0</v>
      </c>
      <c r="I29" s="153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0</v>
      </c>
      <c r="L29" s="938">
        <f>IFERROR(N29-'2. Variable (LC)'!M29/'Input-FX Rates'!$G$16,0)</f>
        <v>0</v>
      </c>
      <c r="M29" s="146">
        <f>IFERROR('2. Variable (LC)'!L29/'Input-FX Rates'!$H$16,0)</f>
        <v>0</v>
      </c>
      <c r="N29" s="153">
        <f>IFERROR('2. Variable (LC)'!M29/'Input-FX Rates'!$H$16,0)</f>
        <v>0</v>
      </c>
      <c r="O29" s="167">
        <f t="shared" si="1"/>
        <v>0</v>
      </c>
      <c r="P29" s="201"/>
      <c r="Q29" s="99"/>
      <c r="R29" s="697" t="s">
        <v>297</v>
      </c>
    </row>
    <row r="30" spans="1:18" x14ac:dyDescent="0.2">
      <c r="A30" s="148" t="s">
        <v>298</v>
      </c>
      <c r="B30" s="146">
        <f>IFERROR('2. Variable (LC)'!B30/'Input-FX Rates'!$E$16,0)</f>
        <v>-11.452431853688438</v>
      </c>
      <c r="C30" s="153">
        <f>IFERROR('2. Variable (LC)'!C30/'Input-FX Rates'!$G$16,0)</f>
        <v>-11.429363815035526</v>
      </c>
      <c r="D30" s="153">
        <f>IFERROR('2. Variable (LC)'!D30/'Input-FX Rates'!$G$16,0)</f>
        <v>0</v>
      </c>
      <c r="E30" s="142">
        <f>IFERROR('2. Variable (LC)'!E30/'Input-FX Rates'!$G$16,0)</f>
        <v>-11.429363815035526</v>
      </c>
      <c r="F30" s="146">
        <f>IFERROR('2. Variable (LC)'!F30/'Input-FX Rates'!$G$16,0)</f>
        <v>0.55568215134824095</v>
      </c>
      <c r="G30" s="153">
        <f>IFERROR('2. Variable (LC)'!G30/'Input-FX Rates'!$G$16,0)</f>
        <v>0</v>
      </c>
      <c r="H30" s="153">
        <f>IFERROR('2. Variable (LC)'!H30/'Input-FX Rates'!$G$16,0)</f>
        <v>0</v>
      </c>
      <c r="I30" s="153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10.873681663687284</v>
      </c>
      <c r="L30" s="938">
        <f>IFERROR(N30-'2. Variable (LC)'!M30/'Input-FX Rates'!$G$16,0)</f>
        <v>0</v>
      </c>
      <c r="M30" s="939">
        <f>IFERROR('2. Variable (LC)'!L30/'Input-FX Rates'!$H$16,0)</f>
        <v>0</v>
      </c>
      <c r="N30" s="153">
        <f>IFERROR('2. Variable (LC)'!M30/'Input-FX Rates'!$H$16,0)</f>
        <v>0</v>
      </c>
      <c r="O30" s="167">
        <f t="shared" si="1"/>
        <v>-1</v>
      </c>
      <c r="P30" s="201" t="str">
        <f>IF(ISBLANK('2. Variable (LC)'!O30),"",'2. Variable (LC)'!O30)</f>
        <v>-</v>
      </c>
      <c r="Q30" s="99"/>
      <c r="R30" s="698" t="s">
        <v>299</v>
      </c>
    </row>
    <row r="31" spans="1:18" ht="15.75" x14ac:dyDescent="0.2">
      <c r="A31" s="163" t="s">
        <v>300</v>
      </c>
      <c r="B31" s="137">
        <f>IFERROR('2. Variable (LC)'!B31/'Input-FX Rates'!$E$16,0)</f>
        <v>-24.391813677951223</v>
      </c>
      <c r="C31" s="203">
        <f>IFERROR('2. Variable (LC)'!C31/'Input-FX Rates'!$G$16,0)</f>
        <v>-133.48466196864479</v>
      </c>
      <c r="D31" s="206">
        <f>IFERROR('2. Variable (LC)'!D31/'Input-FX Rates'!$G$16,0)</f>
        <v>0</v>
      </c>
      <c r="E31" s="131">
        <f>IFERROR('2. Variable (LC)'!E31/'Input-FX Rates'!$G$16,0)</f>
        <v>-133.48466196864479</v>
      </c>
      <c r="F31" s="137">
        <f>IFERROR('2. Variable (LC)'!F31/'Input-FX Rates'!$G$16,0)</f>
        <v>6.4915073885707324</v>
      </c>
      <c r="G31" s="203">
        <f>IFERROR('2. Variable (LC)'!G31/'Input-FX Rates'!$G$16,0)</f>
        <v>0</v>
      </c>
      <c r="H31" s="203">
        <f>IFERROR('2. Variable (LC)'!H31/'Input-FX Rates'!$G$16,0)</f>
        <v>0</v>
      </c>
      <c r="I31" s="203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69.207849588867163</v>
      </c>
      <c r="L31" s="205">
        <f>IFERROR(N31-'2. Variable (LC)'!M31/'Input-FX Rates'!$G$16,0)</f>
        <v>1.8459360256896602</v>
      </c>
      <c r="M31" s="137">
        <f>IFERROR('2. Variable (LC)'!L31/'Input-FX Rates'!$H$16,0)</f>
        <v>-55.939368965517247</v>
      </c>
      <c r="N31" s="203">
        <f>IFERROR('2. Variable (LC)'!M31/'Input-FX Rates'!$H$16,0)</f>
        <v>-55.939368965517247</v>
      </c>
      <c r="O31" s="202">
        <f t="shared" si="1"/>
        <v>-0.58093036203172721</v>
      </c>
      <c r="P31" s="201" t="str">
        <f>IF(ISBLANK('2. Variable (LC)'!O31),"",'2. Variable (LC)'!O31)</f>
        <v>BU target</v>
      </c>
      <c r="Q31" s="99"/>
      <c r="R31" s="698" t="s">
        <v>302</v>
      </c>
    </row>
    <row r="32" spans="1:18" ht="15.75" x14ac:dyDescent="0.2">
      <c r="A32" s="163" t="s">
        <v>303</v>
      </c>
      <c r="B32" s="137">
        <f>IFERROR('2. Variable (LC)'!B32/'Input-FX Rates'!$E$16,0)</f>
        <v>-72.260055764032529</v>
      </c>
      <c r="C32" s="203">
        <f>IFERROR('2. Variable (LC)'!C32/'Input-FX Rates'!$G$16,0)</f>
        <v>-45.744866063289891</v>
      </c>
      <c r="D32" s="206">
        <f>IFERROR('2. Variable (LC)'!D32/'Input-FX Rates'!$G$16,0)</f>
        <v>0</v>
      </c>
      <c r="E32" s="131">
        <f>IFERROR('2. Variable (LC)'!E32/'Input-FX Rates'!$G$16,0)</f>
        <v>-45.744866063289891</v>
      </c>
      <c r="F32" s="137">
        <f>IFERROR('2. Variable (LC)'!F32/'Input-FX Rates'!$G$16,0)</f>
        <v>2.2248658444366107</v>
      </c>
      <c r="G32" s="203">
        <f>IFERROR('2. Variable (LC)'!G32/'Input-FX Rates'!$G$16,0)</f>
        <v>0</v>
      </c>
      <c r="H32" s="207">
        <f>IFERROR('2. Variable (LC)'!H32/'Input-FX Rates'!$G$16,0)</f>
        <v>0</v>
      </c>
      <c r="I32" s="207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-81.41989385131572</v>
      </c>
      <c r="L32" s="205">
        <f>IFERROR(N32-'2. Variable (LC)'!M32/'Input-FX Rates'!$G$16,0)</f>
        <v>3.991171311548328</v>
      </c>
      <c r="M32" s="137">
        <f>IFERROR('2. Variable (LC)'!L32/'Input-FX Rates'!$H$16,0)</f>
        <v>-120.94872275862068</v>
      </c>
      <c r="N32" s="203">
        <f>IFERROR('2. Variable (LC)'!M32/'Input-FX Rates'!$H$16,0)</f>
        <v>-120.94872275862068</v>
      </c>
      <c r="O32" s="202">
        <f t="shared" si="1"/>
        <v>1.6439846296911913</v>
      </c>
      <c r="P32" s="201" t="str">
        <f>IF(ISBLANK('2. Variable (LC)'!O32),"",'2. Variable (LC)'!O32)</f>
        <v>BU target</v>
      </c>
      <c r="Q32" s="99"/>
      <c r="R32" s="698" t="s">
        <v>304</v>
      </c>
    </row>
    <row r="33" spans="1:18" ht="15.75" x14ac:dyDescent="0.2">
      <c r="A33" s="163" t="s">
        <v>305</v>
      </c>
      <c r="B33" s="137">
        <f>IFERROR('2. Variable (LC)'!B33/'Input-FX Rates'!$E$16,0)</f>
        <v>-4.1027080661538182</v>
      </c>
      <c r="C33" s="203">
        <f>IFERROR('2. Variable (LC)'!C33/'Input-FX Rates'!$G$16,0)</f>
        <v>-24.309462695682225</v>
      </c>
      <c r="D33" s="206">
        <f>IFERROR('2. Variable (LC)'!D33/'Input-FX Rates'!$G$16,0)</f>
        <v>0</v>
      </c>
      <c r="E33" s="131">
        <f>IFERROR('2. Variable (LC)'!E33/'Input-FX Rates'!$G$16,0)</f>
        <v>-24.309462695682225</v>
      </c>
      <c r="F33" s="204">
        <f>IFERROR('2. Variable (LC)'!F33/'Input-FX Rates'!$G$16,0)</f>
        <v>0</v>
      </c>
      <c r="G33" s="207">
        <f>IFERROR('2. Variable (LC)'!G33/'Input-FX Rates'!$G$16,0)</f>
        <v>0</v>
      </c>
      <c r="H33" s="207">
        <f>IFERROR('2. Variable (LC)'!H33/'Input-FX Rates'!$G$16,0)</f>
        <v>0</v>
      </c>
      <c r="I33" s="207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24.309462695682225</v>
      </c>
      <c r="L33" s="205">
        <f>IFERROR(N33-'2. Variable (LC)'!M33/'Input-FX Rates'!$G$16,0)</f>
        <v>0</v>
      </c>
      <c r="M33" s="137">
        <f>IFERROR('2. Variable (LC)'!L33/'Input-FX Rates'!$H$16,0)</f>
        <v>0</v>
      </c>
      <c r="N33" s="203">
        <f>IFERROR('2. Variable (LC)'!M33/'Input-FX Rates'!$H$16,0)</f>
        <v>0</v>
      </c>
      <c r="O33" s="202">
        <f t="shared" si="1"/>
        <v>-1</v>
      </c>
      <c r="P33" s="201" t="str">
        <f>IF(ISBLANK('2. Variable (LC)'!O33),"",'2. Variable (LC)'!O33)</f>
        <v>-</v>
      </c>
      <c r="Q33" s="99"/>
      <c r="R33" s="698" t="s">
        <v>306</v>
      </c>
    </row>
    <row r="34" spans="1:18" ht="15.75" x14ac:dyDescent="0.2">
      <c r="A34" s="163" t="s">
        <v>307</v>
      </c>
      <c r="B34" s="137">
        <f>IFERROR('2. Variable (LC)'!B34/'Input-FX Rates'!$E$16,0)</f>
        <v>2.7374753848841002E-4</v>
      </c>
      <c r="C34" s="203">
        <f>IFERROR('2. Variable (LC)'!C34/'Input-FX Rates'!$G$16,0)</f>
        <v>1.4276332742315298E-4</v>
      </c>
      <c r="D34" s="206">
        <f>IFERROR('2. Variable (LC)'!D34/'Input-FX Rates'!$G$16,0)</f>
        <v>0</v>
      </c>
      <c r="E34" s="131">
        <f>IFERROR('2. Variable (LC)'!E34/'Input-FX Rates'!$G$16,0)</f>
        <v>1.4276332742315298E-4</v>
      </c>
      <c r="F34" s="137">
        <f>IFERROR('2. Variable (LC)'!F34/'Input-FX Rates'!$G$16,0)</f>
        <v>0</v>
      </c>
      <c r="G34" s="203">
        <f>IFERROR('2. Variable (LC)'!G34/'Input-FX Rates'!$G$16,0)</f>
        <v>0</v>
      </c>
      <c r="H34" s="203">
        <f>IFERROR('2. Variable (LC)'!H34/'Input-FX Rates'!$G$16,0)</f>
        <v>0</v>
      </c>
      <c r="I34" s="203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-2.2645861456031558E-4</v>
      </c>
      <c r="L34" s="205">
        <f>IFERROR(N34-'2. Variable (LC)'!M34/'Input-FX Rates'!$G$16,0)</f>
        <v>2.6736234364504606E-6</v>
      </c>
      <c r="M34" s="204">
        <f>IFERROR('2. Variable (LC)'!L34/'Input-FX Rates'!$H$16,0)</f>
        <v>0</v>
      </c>
      <c r="N34" s="203">
        <f>IFERROR('2. Variable (LC)'!M34/'Input-FX Rates'!$H$16,0)</f>
        <v>-8.1021663700712142E-5</v>
      </c>
      <c r="O34" s="202">
        <f t="shared" si="1"/>
        <v>-1.5675243437032154</v>
      </c>
      <c r="P34" s="201" t="str">
        <f>IF(ISBLANK('2. Variable (LC)'!O34),"",'2. Variable (LC)'!O34)</f>
        <v>-</v>
      </c>
      <c r="Q34" s="99"/>
      <c r="R34" s="698" t="s">
        <v>308</v>
      </c>
    </row>
    <row r="35" spans="1:18" ht="15.75" x14ac:dyDescent="0.2">
      <c r="A35" s="200" t="s">
        <v>309</v>
      </c>
      <c r="B35" s="120">
        <f>IFERROR('2. Variable (LC)'!B35/'Input-FX Rates'!$E$16,0)</f>
        <v>-100.75430376059909</v>
      </c>
      <c r="C35" s="116">
        <f>IFERROR('2. Variable (LC)'!C35/'Input-FX Rates'!$G$16,0)</f>
        <v>-203.53884796428952</v>
      </c>
      <c r="D35" s="116">
        <f>IFERROR('2. Variable (LC)'!D35/'Input-FX Rates'!$G$16,0)</f>
        <v>0</v>
      </c>
      <c r="E35" s="118">
        <f>IFERROR('2. Variable (LC)'!E35/'Input-FX Rates'!$G$16,0)</f>
        <v>-203.53884796428952</v>
      </c>
      <c r="F35" s="120">
        <f>IFERROR('2. Variable (LC)'!F35/'Input-FX Rates'!$G$16,0)</f>
        <v>8.716373233007344</v>
      </c>
      <c r="G35" s="116">
        <f>IFERROR('2. Variable (LC)'!G35/'Input-FX Rates'!$G$16,0)</f>
        <v>0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12.097191974619104</v>
      </c>
      <c r="L35" s="191">
        <f>IFERROR(N35-'2. Variable (LC)'!M35/'Input-FX Rates'!$G$16,0)</f>
        <v>5.8371100108614371</v>
      </c>
      <c r="M35" s="117">
        <f>IFERROR('2. Variable (LC)'!L35/'Input-FX Rates'!$H$16,0)</f>
        <v>-176.88809172413792</v>
      </c>
      <c r="N35" s="116">
        <f>IFERROR('2. Variable (LC)'!M35/'Input-FX Rates'!$H$16,0)</f>
        <v>-176.88817274580163</v>
      </c>
      <c r="O35" s="199">
        <f t="shared" si="1"/>
        <v>-0.13093655331666065</v>
      </c>
      <c r="P35" s="937" t="str">
        <f>IF(ISBLANK('2. Variable (LC)'!O35),"",'2. Variable (LC)'!O35)</f>
        <v/>
      </c>
      <c r="Q35" s="99"/>
      <c r="R35" s="99"/>
    </row>
    <row r="36" spans="1:18" ht="15.75" x14ac:dyDescent="0.25">
      <c r="A36" s="112"/>
      <c r="B36" s="198"/>
      <c r="C36" s="194"/>
      <c r="D36" s="194"/>
      <c r="E36" s="197"/>
      <c r="F36" s="198"/>
      <c r="G36" s="194"/>
      <c r="H36" s="194"/>
      <c r="I36" s="194"/>
      <c r="J36" s="194"/>
      <c r="K36" s="197"/>
      <c r="L36" s="196"/>
      <c r="M36" s="195"/>
      <c r="N36" s="194"/>
      <c r="O36" s="193"/>
      <c r="P36" s="952" t="str">
        <f>IF(ISBLANK('2. Variable (LC)'!O36),"",'2. Variable (LC)'!O36)</f>
        <v/>
      </c>
    </row>
    <row r="37" spans="1:18" ht="15.75" x14ac:dyDescent="0.2">
      <c r="A37" s="192" t="s">
        <v>310</v>
      </c>
      <c r="B37" s="120">
        <f>IFERROR('2. Variable (LC)'!B37/'Input-FX Rates'!$E$16,0)</f>
        <v>-5701.6743065606088</v>
      </c>
      <c r="C37" s="116">
        <f>IFERROR('2. Variable (LC)'!C37/'Input-FX Rates'!$G$16,0)</f>
        <v>-11091.029717069303</v>
      </c>
      <c r="D37" s="116">
        <f>IFERROR('2. Variable (LC)'!D37/'Input-FX Rates'!$G$16,0)</f>
        <v>-152.79020618625404</v>
      </c>
      <c r="E37" s="118">
        <f>IFERROR('2. Variable (LC)'!E37/'Input-FX Rates'!$G$16,0)</f>
        <v>-10938.23951088305</v>
      </c>
      <c r="F37" s="120">
        <f>IFERROR('2. Variable (LC)'!F37/'Input-FX Rates'!$G$16,0)</f>
        <v>530.76051927328683</v>
      </c>
      <c r="G37" s="116">
        <f>IFERROR('2. Variable (LC)'!G37/'Input-FX Rates'!$G$16,0)</f>
        <v>794.63479510002321</v>
      </c>
      <c r="H37" s="116">
        <f>IFERROR('2. Variable (LC)'!H37/'Input-FX Rates'!$G$16,0)</f>
        <v>60.85349166519142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-101.54928254887531</v>
      </c>
      <c r="L37" s="191">
        <f>IFERROR(N37-'2. Variable (LC)'!M37/'Input-FX Rates'!$G$16,0)</f>
        <v>308.3797384279078</v>
      </c>
      <c r="M37" s="120">
        <f>IFERROR('2. Variable (LC)'!L37/'Input-FX Rates'!$H$16,0)</f>
        <v>0</v>
      </c>
      <c r="N37" s="116">
        <f>IFERROR('2. Variable (LC)'!M37/'Input-FX Rates'!$H$16,0)</f>
        <v>-9345.1602489655161</v>
      </c>
      <c r="O37" s="190">
        <f>IFERROR(N37/C37-1,0)</f>
        <v>-0.15741274819747897</v>
      </c>
      <c r="P37" s="189" t="str">
        <f>IF(ISBLANK('2. Variable (LC)'!O37),"",'2. Variable (LC)'!O37)</f>
        <v/>
      </c>
      <c r="Q37" s="99"/>
      <c r="R37" s="99"/>
    </row>
    <row r="38" spans="1:18" ht="15.75" x14ac:dyDescent="0.2">
      <c r="A38" s="192" t="s">
        <v>311</v>
      </c>
      <c r="B38" s="120">
        <f>IFERROR('2. Variable (LC)'!B38/'Input-FX Rates'!$E$16,0)</f>
        <v>1548.3232185183649</v>
      </c>
      <c r="C38" s="116">
        <f>IFERROR('2. Variable (LC)'!C38/'Input-FX Rates'!$G$16,0)</f>
        <v>4020.5110852391194</v>
      </c>
      <c r="D38" s="116">
        <f>IFERROR('2. Variable (LC)'!D38/'Input-FX Rates'!$G$16,0)</f>
        <v>-152.79020618625404</v>
      </c>
      <c r="E38" s="118">
        <f>IFERROR('2. Variable (LC)'!E38/'Input-FX Rates'!$G$16,0)</f>
        <v>4173.3012914253732</v>
      </c>
      <c r="F38" s="120">
        <f>IFERROR('2. Variable (LC)'!F38/'Input-FX Rates'!$G$16,0)</f>
        <v>-204.13553760189271</v>
      </c>
      <c r="G38" s="116">
        <f>IFERROR('2. Variable (LC)'!G38/'Input-FX Rates'!$G$16,0)</f>
        <v>794.63479510002321</v>
      </c>
      <c r="H38" s="116">
        <f>IFERROR('2. Variable (LC)'!H38/'Input-FX Rates'!$G$16,0)</f>
        <v>-557.38503660292247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795.47006611326424</v>
      </c>
      <c r="L38" s="191">
        <f>IFERROR(N38-'2. Variable (LC)'!M38/'Input-FX Rates'!$G$16,0)</f>
        <v>-159.78388946832729</v>
      </c>
      <c r="M38" s="120">
        <f>IFERROR('2. Variable (LC)'!L38/'Input-FX Rates'!$H$16,0)</f>
        <v>0</v>
      </c>
      <c r="N38" s="116">
        <f>IFERROR('2. Variable (LC)'!M38/'Input-FX Rates'!$H$16,0)</f>
        <v>4842.1016889655166</v>
      </c>
      <c r="O38" s="190">
        <f>IFERROR(N38/C38-1,0)</f>
        <v>0.20434979193137415</v>
      </c>
      <c r="P38" s="189" t="str">
        <f>IF(ISBLANK('2. Variable (LC)'!O38),"",'2. Variable (LC)'!O38)</f>
        <v/>
      </c>
      <c r="Q38" s="99"/>
      <c r="R38" s="99"/>
    </row>
    <row r="39" spans="1:18" x14ac:dyDescent="0.2">
      <c r="A39" s="943" t="s">
        <v>312</v>
      </c>
      <c r="B39" s="932">
        <f>IFERROR(B38/B$6,0)</f>
        <v>0.21356189614719892</v>
      </c>
      <c r="C39" s="933">
        <f>IFERROR(C38/C$6,0)</f>
        <v>0.26605566817018089</v>
      </c>
      <c r="D39" s="933">
        <f>IFERROR(D38/D$6,0)</f>
        <v>0</v>
      </c>
      <c r="E39" s="934">
        <f>IFERROR(E38/E$6,0)</f>
        <v>0.27616649725009274</v>
      </c>
      <c r="F39" s="932">
        <f>IFERROR(F38/F$6,0)</f>
        <v>0.27777470799052695</v>
      </c>
      <c r="G39" s="935"/>
      <c r="H39" s="935"/>
      <c r="I39" s="935"/>
      <c r="J39" s="933"/>
      <c r="K39" s="941"/>
      <c r="L39" s="936">
        <f>IFERROR(L38/L$6,0)</f>
        <v>0.34129923801714446</v>
      </c>
      <c r="M39" s="933">
        <f>IFERROR(M38/M$6,0)</f>
        <v>0</v>
      </c>
      <c r="N39" s="933">
        <f>IFERROR(N38/N$6,0)</f>
        <v>0.34129923801714579</v>
      </c>
      <c r="O39" s="934">
        <f>IFERROR(N39/C39-1,0)</f>
        <v>0.2828113768988969</v>
      </c>
      <c r="P39" s="189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Normal="100" workbookViewId="0">
      <pane xSplit="2" ySplit="5" topLeftCell="G6" activePane="bottomRight" state="frozen"/>
      <selection pane="topRight" activeCell="H16" sqref="H16"/>
      <selection pane="bottomLeft" activeCell="H16" sqref="H16"/>
      <selection pane="bottomRight" activeCell="T11" sqref="T11"/>
    </sheetView>
  </sheetViews>
  <sheetFormatPr defaultColWidth="8.7109375" defaultRowHeight="12.75" customHeight="1" outlineLevelRow="1" x14ac:dyDescent="0.2"/>
  <cols>
    <col min="1" max="1" width="41.28515625" style="5" customWidth="1"/>
    <col min="2" max="2" width="20.42578125" style="5" customWidth="1"/>
    <col min="3" max="3" width="14.7109375" style="5" bestFit="1" customWidth="1"/>
    <col min="4" max="4" width="13.28515625" style="5" customWidth="1"/>
    <col min="5" max="5" width="15.28515625" style="5" bestFit="1" customWidth="1"/>
    <col min="6" max="7" width="14.28515625" style="5" bestFit="1" customWidth="1"/>
    <col min="8" max="9" width="13.85546875" style="5" bestFit="1" customWidth="1"/>
    <col min="10" max="14" width="14.28515625" style="5" bestFit="1" customWidth="1"/>
    <col min="15" max="15" width="13.42578125" style="5" bestFit="1" customWidth="1"/>
    <col min="16" max="16" width="13.85546875" style="5" bestFit="1" customWidth="1"/>
    <col min="17" max="17" width="14.28515625" style="5" bestFit="1" customWidth="1"/>
    <col min="18" max="18" width="15.28515625" style="5" bestFit="1" customWidth="1"/>
    <col min="19" max="19" width="9.7109375" style="5" bestFit="1" customWidth="1"/>
    <col min="20" max="20" width="14.85546875" style="5" customWidth="1"/>
    <col min="21" max="21" width="18.7109375" style="5" customWidth="1"/>
    <col min="22" max="22" width="10.5703125" style="5" customWidth="1"/>
    <col min="23" max="23" width="27.7109375" style="5" customWidth="1"/>
    <col min="24" max="24" width="8.7109375" style="5"/>
    <col min="25" max="25" width="66.7109375" style="5" customWidth="1"/>
    <col min="26" max="16384" width="8.7109375" style="5"/>
  </cols>
  <sheetData>
    <row r="1" spans="1:25" ht="20.100000000000001" customHeight="1" x14ac:dyDescent="0.25">
      <c r="A1" s="60" t="str">
        <f>+'0. Instructions'!A1</f>
        <v>Budget 2024</v>
      </c>
      <c r="D1" s="306"/>
      <c r="E1" s="62"/>
      <c r="F1" s="218"/>
      <c r="G1" s="218"/>
      <c r="H1" s="58"/>
      <c r="I1" s="60"/>
      <c r="J1" s="60"/>
      <c r="K1" s="60"/>
      <c r="L1" s="218"/>
      <c r="M1" s="218"/>
      <c r="N1" s="218"/>
      <c r="O1" s="58"/>
      <c r="P1" s="60"/>
      <c r="Q1" s="60"/>
      <c r="R1" s="60"/>
      <c r="S1" s="218"/>
      <c r="T1" s="218"/>
      <c r="U1" s="218"/>
      <c r="V1" s="58"/>
      <c r="W1" s="57" t="str">
        <f>'Input-FX Rates'!$H$1</f>
        <v>Plant ICH Icheon (242)</v>
      </c>
      <c r="X1" s="305"/>
      <c r="Y1" s="56" t="s">
        <v>154</v>
      </c>
    </row>
    <row r="2" spans="1:25" ht="20.100000000000001" customHeight="1" thickBot="1" x14ac:dyDescent="0.3">
      <c r="A2" s="55" t="s">
        <v>318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7521 &amp; 7522 PL Mechatronic Sensors (&amp; Electrification)</v>
      </c>
      <c r="X2" s="220"/>
      <c r="Y2" s="95" t="s">
        <v>156</v>
      </c>
    </row>
    <row r="3" spans="1:25" ht="13.5" customHeight="1" x14ac:dyDescent="0.2"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</row>
    <row r="4" spans="1:25" ht="23.25" customHeight="1" x14ac:dyDescent="0.2">
      <c r="A4" s="1027" t="str">
        <f>"in '000 "&amp;'Input-FX Rates'!$B$8</f>
        <v>in '000 KRW</v>
      </c>
      <c r="B4" s="1030"/>
      <c r="C4" s="1029">
        <v>2023</v>
      </c>
      <c r="D4" s="1027"/>
      <c r="E4" s="1030"/>
      <c r="F4" s="1029">
        <v>2024</v>
      </c>
      <c r="G4" s="1027"/>
      <c r="H4" s="1027"/>
      <c r="I4" s="1027"/>
      <c r="J4" s="1027"/>
      <c r="K4" s="1027"/>
      <c r="L4" s="1027"/>
      <c r="M4" s="1027"/>
      <c r="N4" s="1027"/>
      <c r="O4" s="1027"/>
      <c r="P4" s="1027"/>
      <c r="Q4" s="1028"/>
      <c r="R4" s="1031">
        <v>2024</v>
      </c>
      <c r="S4" s="1028"/>
      <c r="T4" s="1031" t="s">
        <v>319</v>
      </c>
      <c r="U4" s="1027"/>
      <c r="V4" s="1027"/>
      <c r="W4" s="777"/>
      <c r="X4" s="220"/>
      <c r="Y4" s="220"/>
    </row>
    <row r="5" spans="1:25" ht="50.25" customHeight="1" x14ac:dyDescent="0.2">
      <c r="A5" s="1027"/>
      <c r="B5" s="1030"/>
      <c r="C5" s="645" t="s">
        <v>242</v>
      </c>
      <c r="D5" s="186" t="s">
        <v>320</v>
      </c>
      <c r="E5" s="187" t="s">
        <v>19</v>
      </c>
      <c r="F5" s="645" t="s">
        <v>321</v>
      </c>
      <c r="G5" s="186" t="s">
        <v>322</v>
      </c>
      <c r="H5" s="186" t="s">
        <v>323</v>
      </c>
      <c r="I5" s="186" t="s">
        <v>324</v>
      </c>
      <c r="J5" s="186" t="s">
        <v>325</v>
      </c>
      <c r="K5" s="186" t="s">
        <v>326</v>
      </c>
      <c r="L5" s="186" t="s">
        <v>327</v>
      </c>
      <c r="M5" s="186" t="s">
        <v>328</v>
      </c>
      <c r="N5" s="186" t="s">
        <v>329</v>
      </c>
      <c r="O5" s="186" t="s">
        <v>330</v>
      </c>
      <c r="P5" s="186" t="s">
        <v>331</v>
      </c>
      <c r="Q5" s="644" t="s">
        <v>332</v>
      </c>
      <c r="R5" s="186" t="s">
        <v>15</v>
      </c>
      <c r="S5" s="644" t="s">
        <v>251</v>
      </c>
      <c r="T5" s="303" t="s">
        <v>333</v>
      </c>
      <c r="U5" s="186" t="s">
        <v>334</v>
      </c>
      <c r="V5" s="186" t="s">
        <v>335</v>
      </c>
      <c r="W5" s="303" t="s">
        <v>208</v>
      </c>
      <c r="X5" s="220"/>
      <c r="Y5" s="220"/>
    </row>
    <row r="6" spans="1:25" ht="17.649999999999999" customHeight="1" outlineLevel="1" x14ac:dyDescent="0.2">
      <c r="A6" s="213" t="s">
        <v>336</v>
      </c>
      <c r="B6" s="214"/>
      <c r="C6" s="265"/>
      <c r="D6" s="78"/>
      <c r="E6" s="80"/>
      <c r="F6" s="265"/>
      <c r="G6" s="78"/>
      <c r="H6" s="78"/>
      <c r="I6" s="78"/>
      <c r="J6" s="78"/>
      <c r="K6" s="78"/>
      <c r="L6" s="78"/>
      <c r="M6" s="78"/>
      <c r="N6" s="78"/>
      <c r="O6" s="78"/>
      <c r="P6" s="78"/>
      <c r="Q6" s="264"/>
      <c r="R6" s="78"/>
      <c r="S6" s="264"/>
      <c r="T6" s="286"/>
      <c r="U6" s="78"/>
      <c r="V6" s="78"/>
      <c r="W6" s="778"/>
      <c r="X6" s="220"/>
      <c r="Y6" s="266"/>
    </row>
    <row r="7" spans="1:25" ht="17.649999999999999" customHeight="1" outlineLevel="1" x14ac:dyDescent="0.2">
      <c r="A7" s="282" t="s">
        <v>337</v>
      </c>
      <c r="B7" s="281" t="s">
        <v>338</v>
      </c>
      <c r="C7" s="667">
        <v>-34169.339999999997</v>
      </c>
      <c r="D7" s="285"/>
      <c r="E7" s="284">
        <f>-187369.769+34</f>
        <v>-187335.769</v>
      </c>
      <c r="F7" s="279">
        <v>-6285.5441063555836</v>
      </c>
      <c r="G7" s="278">
        <v>-6285.5972111555157</v>
      </c>
      <c r="H7" s="278">
        <v>-6128.9213647585275</v>
      </c>
      <c r="I7" s="278">
        <v>-6285.5972111555157</v>
      </c>
      <c r="J7" s="278">
        <v>-6442.3273803524344</v>
      </c>
      <c r="K7" s="278">
        <v>-6024.8930201933208</v>
      </c>
      <c r="L7" s="278">
        <v>-6503.4835256731922</v>
      </c>
      <c r="M7" s="278">
        <v>-6343.7791222801288</v>
      </c>
      <c r="N7" s="278">
        <v>-5705.6496178069765</v>
      </c>
      <c r="O7" s="278">
        <v>-6503.236515273511</v>
      </c>
      <c r="P7" s="278">
        <v>-6343.6556170802878</v>
      </c>
      <c r="Q7" s="277">
        <v>-5546.088207613725</v>
      </c>
      <c r="R7" s="276">
        <v>-74398.772899698699</v>
      </c>
      <c r="S7" s="275"/>
      <c r="T7" s="699">
        <f t="shared" ref="T7:T42" si="0">R7-E7</f>
        <v>112936.9961003013</v>
      </c>
      <c r="U7" s="302">
        <f>R7-E9*R8</f>
        <v>82074.04897043496</v>
      </c>
      <c r="V7" s="776">
        <f>IFERROR(R8/E8*E7-E7,0)</f>
        <v>30862.947129866341</v>
      </c>
      <c r="W7" s="779"/>
      <c r="X7" s="220"/>
      <c r="Y7" s="266" t="s">
        <v>339</v>
      </c>
    </row>
    <row r="8" spans="1:25" ht="17.649999999999999" customHeight="1" outlineLevel="1" x14ac:dyDescent="0.2">
      <c r="A8" s="282" t="s">
        <v>340</v>
      </c>
      <c r="B8" s="281" t="s">
        <v>338</v>
      </c>
      <c r="C8" s="280">
        <v>10156179.187999999</v>
      </c>
      <c r="D8" s="285"/>
      <c r="E8" s="284">
        <v>21207929.708999999</v>
      </c>
      <c r="F8" s="279">
        <v>1496558.1224999998</v>
      </c>
      <c r="G8" s="278">
        <v>1496570.7664999999</v>
      </c>
      <c r="H8" s="278">
        <v>1459266.9934999999</v>
      </c>
      <c r="I8" s="278">
        <v>1496570.7664999999</v>
      </c>
      <c r="J8" s="278">
        <v>1533887.4734999998</v>
      </c>
      <c r="K8" s="278">
        <v>1434498.3399999996</v>
      </c>
      <c r="L8" s="278">
        <v>1548448.4604999996</v>
      </c>
      <c r="M8" s="278">
        <v>1510423.6025000003</v>
      </c>
      <c r="N8" s="278">
        <v>1358488.0060000001</v>
      </c>
      <c r="O8" s="278">
        <v>1548389.6484999999</v>
      </c>
      <c r="P8" s="278">
        <v>1510394.1965000001</v>
      </c>
      <c r="Q8" s="277">
        <v>1320497.1939999994</v>
      </c>
      <c r="R8" s="276">
        <f>SUM(F8:Q8)</f>
        <v>17713993.570499998</v>
      </c>
      <c r="S8" s="275"/>
      <c r="T8" s="699">
        <f t="shared" si="0"/>
        <v>-3493936.1385000013</v>
      </c>
      <c r="U8" s="299">
        <f>IFERROR(-U7/(E7+V7),0)</f>
        <v>0.52452590801074206</v>
      </c>
      <c r="V8" s="776"/>
      <c r="W8" s="779"/>
      <c r="X8" s="220"/>
      <c r="Y8" s="266" t="s">
        <v>341</v>
      </c>
    </row>
    <row r="9" spans="1:25" ht="17.649999999999999" customHeight="1" outlineLevel="1" x14ac:dyDescent="0.2">
      <c r="A9" s="274" t="s">
        <v>342</v>
      </c>
      <c r="B9" s="273" t="str">
        <f>+B7</f>
        <v>Knock Sensor</v>
      </c>
      <c r="C9" s="271">
        <f t="shared" ref="C9" si="1">IFERROR(C7/C8,0)</f>
        <v>-3.3643892420067451E-3</v>
      </c>
      <c r="D9" s="269">
        <f t="shared" ref="D9:S9" si="2">IFERROR(D7/D8,0)</f>
        <v>0</v>
      </c>
      <c r="E9" s="272">
        <f t="shared" si="2"/>
        <v>-8.8332888485810283E-3</v>
      </c>
      <c r="F9" s="271">
        <f t="shared" si="2"/>
        <v>-4.1999999945579024E-3</v>
      </c>
      <c r="G9" s="269">
        <f t="shared" si="2"/>
        <v>-4.1999999945579024E-3</v>
      </c>
      <c r="H9" s="269">
        <f t="shared" si="2"/>
        <v>-4.1999999945579033E-3</v>
      </c>
      <c r="I9" s="269">
        <f t="shared" si="2"/>
        <v>-4.1999999945579024E-3</v>
      </c>
      <c r="J9" s="269">
        <f t="shared" si="2"/>
        <v>-4.1999999945579024E-3</v>
      </c>
      <c r="K9" s="269">
        <f t="shared" si="2"/>
        <v>-4.1999999945579042E-3</v>
      </c>
      <c r="L9" s="269">
        <f t="shared" si="2"/>
        <v>-4.1999999945579033E-3</v>
      </c>
      <c r="M9" s="269">
        <f t="shared" si="2"/>
        <v>-4.1999999945579024E-3</v>
      </c>
      <c r="N9" s="269">
        <f t="shared" si="2"/>
        <v>-4.1999999945579024E-3</v>
      </c>
      <c r="O9" s="269">
        <f t="shared" si="2"/>
        <v>-4.1999999945579016E-3</v>
      </c>
      <c r="P9" s="269">
        <f t="shared" si="2"/>
        <v>-4.1999999945579024E-3</v>
      </c>
      <c r="Q9" s="270">
        <f t="shared" si="2"/>
        <v>-4.1999999945579042E-3</v>
      </c>
      <c r="R9" s="269">
        <f t="shared" si="2"/>
        <v>-4.1999999945579016E-3</v>
      </c>
      <c r="S9" s="269">
        <f t="shared" si="2"/>
        <v>0</v>
      </c>
      <c r="T9" s="268">
        <f>R9-E9</f>
        <v>4.6332888540231267E-3</v>
      </c>
      <c r="U9" s="269"/>
      <c r="V9" s="269"/>
      <c r="W9" s="268"/>
      <c r="X9" s="220"/>
      <c r="Y9" s="266"/>
    </row>
    <row r="10" spans="1:25" ht="17.649999999999999" customHeight="1" outlineLevel="1" x14ac:dyDescent="0.2">
      <c r="A10" s="282" t="s">
        <v>343</v>
      </c>
      <c r="B10" s="985" t="s">
        <v>344</v>
      </c>
      <c r="C10" s="667">
        <v>0</v>
      </c>
      <c r="D10" s="285"/>
      <c r="E10" s="284">
        <v>-34</v>
      </c>
      <c r="F10" s="279">
        <v>-580.20489584820666</v>
      </c>
      <c r="G10" s="278">
        <v>-580.20489584820677</v>
      </c>
      <c r="H10" s="278">
        <v>-552.61835298395158</v>
      </c>
      <c r="I10" s="278">
        <v>-580.20489584820677</v>
      </c>
      <c r="J10" s="278">
        <v>-607.90915841230935</v>
      </c>
      <c r="K10" s="278">
        <v>-524.98595241975602</v>
      </c>
      <c r="L10" s="278">
        <v>-607.86183911237072</v>
      </c>
      <c r="M10" s="278">
        <v>-580.0399786484204</v>
      </c>
      <c r="N10" s="278">
        <v>-469.57742729155098</v>
      </c>
      <c r="O10" s="278">
        <v>-607.74418031252299</v>
      </c>
      <c r="P10" s="278">
        <v>-580.0399786484204</v>
      </c>
      <c r="Q10" s="277">
        <v>-441.92054492738691</v>
      </c>
      <c r="R10" s="276">
        <v>-6713.3121003013102</v>
      </c>
      <c r="S10" s="275"/>
      <c r="T10" s="699">
        <f t="shared" si="0"/>
        <v>-6679.3121003013102</v>
      </c>
      <c r="U10" s="302">
        <f>R10-E12*R11</f>
        <v>7439.2555898028377</v>
      </c>
      <c r="V10" s="776">
        <f>IFERROR(R11/E11*E10-E10,0)</f>
        <v>-14118.567690104148</v>
      </c>
      <c r="W10" s="779"/>
      <c r="X10" s="220"/>
      <c r="Y10" s="266"/>
    </row>
    <row r="11" spans="1:25" ht="17.649999999999999" customHeight="1" outlineLevel="1" x14ac:dyDescent="0.2">
      <c r="A11" s="282" t="s">
        <v>345</v>
      </c>
      <c r="B11" s="281" t="str">
        <f>+B10</f>
        <v>Door Handle Sensor</v>
      </c>
      <c r="C11" s="280">
        <v>0</v>
      </c>
      <c r="D11" s="285"/>
      <c r="E11" s="284">
        <v>3840.0000000000055</v>
      </c>
      <c r="F11" s="279">
        <v>138144.02299999999</v>
      </c>
      <c r="G11" s="278">
        <v>138144.02299999999</v>
      </c>
      <c r="H11" s="278">
        <v>131575.7985</v>
      </c>
      <c r="I11" s="278">
        <v>138144.02299999999</v>
      </c>
      <c r="J11" s="278">
        <v>144740.27600000001</v>
      </c>
      <c r="K11" s="278">
        <v>124996.65550000001</v>
      </c>
      <c r="L11" s="278">
        <v>144729.00950000001</v>
      </c>
      <c r="M11" s="278">
        <v>138104.75699999998</v>
      </c>
      <c r="N11" s="278">
        <v>111804.1495</v>
      </c>
      <c r="O11" s="278">
        <v>144700.99549999999</v>
      </c>
      <c r="P11" s="278">
        <v>138104.75699999998</v>
      </c>
      <c r="Q11" s="277">
        <v>105219.17749999999</v>
      </c>
      <c r="R11" s="276">
        <f>SUM(F11:Q11)</f>
        <v>1598407.645</v>
      </c>
      <c r="S11" s="275"/>
      <c r="T11" s="699">
        <f t="shared" si="0"/>
        <v>1594567.645</v>
      </c>
      <c r="U11" s="299">
        <f>-IFERROR(U10/(E10+V10),0)</f>
        <v>0.5256470594381657</v>
      </c>
      <c r="V11" s="776"/>
      <c r="W11" s="779"/>
      <c r="X11" s="220"/>
      <c r="Y11" s="266"/>
    </row>
    <row r="12" spans="1:25" ht="17.649999999999999" customHeight="1" outlineLevel="1" x14ac:dyDescent="0.2">
      <c r="A12" s="274" t="s">
        <v>346</v>
      </c>
      <c r="B12" s="273" t="str">
        <f>+B10</f>
        <v>Door Handle Sensor</v>
      </c>
      <c r="C12" s="271">
        <f t="shared" ref="C12" si="3">IFERROR(C10/C11,0)</f>
        <v>0</v>
      </c>
      <c r="D12" s="269">
        <f t="shared" ref="D12:S12" si="4">IFERROR(D10/D11,0)</f>
        <v>0</v>
      </c>
      <c r="E12" s="272">
        <f t="shared" si="4"/>
        <v>-8.8541666666666543E-3</v>
      </c>
      <c r="F12" s="271">
        <f t="shared" si="4"/>
        <v>-4.1999999945579024E-3</v>
      </c>
      <c r="G12" s="269">
        <f t="shared" si="4"/>
        <v>-4.1999999945579033E-3</v>
      </c>
      <c r="H12" s="269">
        <f t="shared" si="4"/>
        <v>-4.1999999945579016E-3</v>
      </c>
      <c r="I12" s="269">
        <f t="shared" si="4"/>
        <v>-4.1999999945579033E-3</v>
      </c>
      <c r="J12" s="269">
        <f t="shared" si="4"/>
        <v>-4.1999999945579024E-3</v>
      </c>
      <c r="K12" s="269">
        <f t="shared" si="4"/>
        <v>-4.1999999945579024E-3</v>
      </c>
      <c r="L12" s="269">
        <f t="shared" si="4"/>
        <v>-4.1999999945579024E-3</v>
      </c>
      <c r="M12" s="269">
        <f t="shared" si="4"/>
        <v>-4.1999999945579024E-3</v>
      </c>
      <c r="N12" s="269">
        <f t="shared" si="4"/>
        <v>-4.1999999945579033E-3</v>
      </c>
      <c r="O12" s="269">
        <f t="shared" si="4"/>
        <v>-4.1999999945579024E-3</v>
      </c>
      <c r="P12" s="269">
        <f t="shared" si="4"/>
        <v>-4.1999999945579024E-3</v>
      </c>
      <c r="Q12" s="270">
        <f t="shared" si="4"/>
        <v>-4.1999999945579024E-3</v>
      </c>
      <c r="R12" s="269">
        <f t="shared" si="4"/>
        <v>-4.1999999945579024E-3</v>
      </c>
      <c r="S12" s="269">
        <f t="shared" si="4"/>
        <v>0</v>
      </c>
      <c r="T12" s="268">
        <f t="shared" si="0"/>
        <v>4.6541666721087518E-3</v>
      </c>
      <c r="U12" s="269"/>
      <c r="V12" s="269"/>
      <c r="W12" s="268"/>
      <c r="X12" s="220"/>
      <c r="Y12" s="266"/>
    </row>
    <row r="13" spans="1:25" ht="17.649999999999999" customHeight="1" outlineLevel="1" x14ac:dyDescent="0.2">
      <c r="A13" s="282" t="s">
        <v>347</v>
      </c>
      <c r="B13" s="281" t="s">
        <v>348</v>
      </c>
      <c r="C13" s="667"/>
      <c r="D13" s="285"/>
      <c r="E13" s="284"/>
      <c r="F13" s="279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7"/>
      <c r="R13" s="276">
        <f>SUM(F13:Q13)</f>
        <v>0</v>
      </c>
      <c r="S13" s="275"/>
      <c r="T13" s="699">
        <f t="shared" si="0"/>
        <v>0</v>
      </c>
      <c r="U13" s="302">
        <f>R13-E15*R14</f>
        <v>0</v>
      </c>
      <c r="V13" s="776">
        <f>IFERROR(R14/E14*E13-E13,0)</f>
        <v>0</v>
      </c>
      <c r="W13" s="779"/>
      <c r="X13" s="220"/>
      <c r="Y13" s="266"/>
    </row>
    <row r="14" spans="1:25" ht="17.649999999999999" customHeight="1" outlineLevel="1" x14ac:dyDescent="0.2">
      <c r="A14" s="282" t="s">
        <v>349</v>
      </c>
      <c r="B14" s="281" t="str">
        <f>+B13</f>
        <v>Area 3</v>
      </c>
      <c r="C14" s="280"/>
      <c r="D14" s="285"/>
      <c r="E14" s="284"/>
      <c r="F14" s="279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7"/>
      <c r="R14" s="276">
        <f>SUM(F14:Q14)</f>
        <v>0</v>
      </c>
      <c r="S14" s="275"/>
      <c r="T14" s="699">
        <f t="shared" si="0"/>
        <v>0</v>
      </c>
      <c r="U14" s="299">
        <f>IFERROR(-U13/(E13+V13),0)</f>
        <v>0</v>
      </c>
      <c r="V14" s="776"/>
      <c r="W14" s="779"/>
      <c r="X14" s="220"/>
      <c r="Y14" s="266"/>
    </row>
    <row r="15" spans="1:25" ht="17.649999999999999" customHeight="1" outlineLevel="1" x14ac:dyDescent="0.2">
      <c r="A15" s="274" t="s">
        <v>350</v>
      </c>
      <c r="B15" s="273" t="str">
        <f>+B13</f>
        <v>Area 3</v>
      </c>
      <c r="C15" s="271">
        <f t="shared" ref="C15" si="5">IFERROR(C13/C14,0)</f>
        <v>0</v>
      </c>
      <c r="D15" s="269">
        <f t="shared" ref="D15:S15" si="6">IFERROR(D13/D14,0)</f>
        <v>0</v>
      </c>
      <c r="E15" s="272">
        <f t="shared" si="6"/>
        <v>0</v>
      </c>
      <c r="F15" s="271">
        <f t="shared" si="6"/>
        <v>0</v>
      </c>
      <c r="G15" s="269">
        <f t="shared" si="6"/>
        <v>0</v>
      </c>
      <c r="H15" s="269">
        <f t="shared" si="6"/>
        <v>0</v>
      </c>
      <c r="I15" s="269">
        <f t="shared" si="6"/>
        <v>0</v>
      </c>
      <c r="J15" s="269">
        <f t="shared" si="6"/>
        <v>0</v>
      </c>
      <c r="K15" s="269">
        <f t="shared" si="6"/>
        <v>0</v>
      </c>
      <c r="L15" s="269">
        <f t="shared" si="6"/>
        <v>0</v>
      </c>
      <c r="M15" s="269">
        <f t="shared" si="6"/>
        <v>0</v>
      </c>
      <c r="N15" s="269">
        <f t="shared" si="6"/>
        <v>0</v>
      </c>
      <c r="O15" s="269">
        <f t="shared" si="6"/>
        <v>0</v>
      </c>
      <c r="P15" s="269">
        <f t="shared" si="6"/>
        <v>0</v>
      </c>
      <c r="Q15" s="270">
        <f t="shared" si="6"/>
        <v>0</v>
      </c>
      <c r="R15" s="269">
        <f t="shared" si="6"/>
        <v>0</v>
      </c>
      <c r="S15" s="269">
        <f t="shared" si="6"/>
        <v>0</v>
      </c>
      <c r="T15" s="268">
        <f t="shared" si="0"/>
        <v>0</v>
      </c>
      <c r="U15" s="269"/>
      <c r="V15" s="269"/>
      <c r="W15" s="268"/>
      <c r="X15" s="220"/>
      <c r="Y15" s="266"/>
    </row>
    <row r="16" spans="1:25" ht="17.649999999999999" customHeight="1" outlineLevel="1" x14ac:dyDescent="0.2">
      <c r="A16" s="282" t="s">
        <v>351</v>
      </c>
      <c r="B16" s="281" t="s">
        <v>352</v>
      </c>
      <c r="C16" s="667"/>
      <c r="D16" s="285"/>
      <c r="E16" s="284"/>
      <c r="F16" s="279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7"/>
      <c r="R16" s="276">
        <f>SUM(F16:Q16)</f>
        <v>0</v>
      </c>
      <c r="S16" s="275"/>
      <c r="T16" s="699">
        <f t="shared" si="0"/>
        <v>0</v>
      </c>
      <c r="U16" s="302">
        <f>R16-E18*R17</f>
        <v>0</v>
      </c>
      <c r="V16" s="776">
        <f>IFERROR(R17/E17*E16-E16,0)</f>
        <v>0</v>
      </c>
      <c r="W16" s="779"/>
      <c r="X16" s="220"/>
      <c r="Y16" s="266"/>
    </row>
    <row r="17" spans="1:25" ht="17.649999999999999" customHeight="1" outlineLevel="1" x14ac:dyDescent="0.2">
      <c r="A17" s="282" t="s">
        <v>353</v>
      </c>
      <c r="B17" s="281" t="str">
        <f>+B16</f>
        <v>Area 4</v>
      </c>
      <c r="C17" s="280"/>
      <c r="D17" s="285"/>
      <c r="E17" s="284"/>
      <c r="F17" s="279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7"/>
      <c r="R17" s="276">
        <f>SUM(F17:Q17)</f>
        <v>0</v>
      </c>
      <c r="S17" s="275"/>
      <c r="T17" s="699">
        <f t="shared" si="0"/>
        <v>0</v>
      </c>
      <c r="U17" s="299">
        <f>IFERROR(-U16/(E16+V16),0)</f>
        <v>0</v>
      </c>
      <c r="V17" s="776"/>
      <c r="W17" s="779"/>
      <c r="X17" s="220"/>
      <c r="Y17" s="266"/>
    </row>
    <row r="18" spans="1:25" ht="17.649999999999999" customHeight="1" outlineLevel="1" x14ac:dyDescent="0.2">
      <c r="A18" s="274" t="s">
        <v>354</v>
      </c>
      <c r="B18" s="273" t="str">
        <f>+B16</f>
        <v>Area 4</v>
      </c>
      <c r="C18" s="271">
        <f t="shared" ref="C18" si="7">IFERROR(C16/C17,0)</f>
        <v>0</v>
      </c>
      <c r="D18" s="269">
        <f t="shared" ref="D18:S18" si="8">IFERROR(D16/D17,0)</f>
        <v>0</v>
      </c>
      <c r="E18" s="272">
        <f t="shared" si="8"/>
        <v>0</v>
      </c>
      <c r="F18" s="271">
        <f t="shared" si="8"/>
        <v>0</v>
      </c>
      <c r="G18" s="269">
        <f t="shared" si="8"/>
        <v>0</v>
      </c>
      <c r="H18" s="269">
        <f t="shared" si="8"/>
        <v>0</v>
      </c>
      <c r="I18" s="269">
        <f t="shared" si="8"/>
        <v>0</v>
      </c>
      <c r="J18" s="269">
        <f t="shared" si="8"/>
        <v>0</v>
      </c>
      <c r="K18" s="269">
        <f t="shared" si="8"/>
        <v>0</v>
      </c>
      <c r="L18" s="269">
        <f t="shared" si="8"/>
        <v>0</v>
      </c>
      <c r="M18" s="269">
        <f t="shared" si="8"/>
        <v>0</v>
      </c>
      <c r="N18" s="269">
        <f t="shared" si="8"/>
        <v>0</v>
      </c>
      <c r="O18" s="269">
        <f t="shared" si="8"/>
        <v>0</v>
      </c>
      <c r="P18" s="269">
        <f t="shared" si="8"/>
        <v>0</v>
      </c>
      <c r="Q18" s="270">
        <f t="shared" si="8"/>
        <v>0</v>
      </c>
      <c r="R18" s="269">
        <f t="shared" si="8"/>
        <v>0</v>
      </c>
      <c r="S18" s="269">
        <f t="shared" si="8"/>
        <v>0</v>
      </c>
      <c r="T18" s="268">
        <f t="shared" si="0"/>
        <v>0</v>
      </c>
      <c r="U18" s="269"/>
      <c r="V18" s="269"/>
      <c r="W18" s="268"/>
      <c r="X18" s="220"/>
      <c r="Y18" s="266"/>
    </row>
    <row r="19" spans="1:25" ht="17.649999999999999" customHeight="1" outlineLevel="1" x14ac:dyDescent="0.2">
      <c r="A19" s="282" t="s">
        <v>355</v>
      </c>
      <c r="B19" s="281" t="s">
        <v>356</v>
      </c>
      <c r="C19" s="667"/>
      <c r="D19" s="285"/>
      <c r="E19" s="284"/>
      <c r="F19" s="280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0"/>
      <c r="R19" s="276">
        <f>SUM(F19:Q19)</f>
        <v>0</v>
      </c>
      <c r="S19" s="275"/>
      <c r="T19" s="699">
        <f t="shared" si="0"/>
        <v>0</v>
      </c>
      <c r="U19" s="302">
        <f>R19-E21*R20</f>
        <v>0</v>
      </c>
      <c r="V19" s="776">
        <f>IFERROR(R20/E20*E19-E19,0)</f>
        <v>0</v>
      </c>
      <c r="W19" s="779"/>
      <c r="X19" s="220"/>
      <c r="Y19" s="266"/>
    </row>
    <row r="20" spans="1:25" ht="17.649999999999999" customHeight="1" outlineLevel="1" x14ac:dyDescent="0.2">
      <c r="A20" s="282" t="s">
        <v>357</v>
      </c>
      <c r="B20" s="281" t="str">
        <f>+B19</f>
        <v>Area 5</v>
      </c>
      <c r="C20" s="280"/>
      <c r="D20" s="285"/>
      <c r="E20" s="284"/>
      <c r="F20" s="280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0"/>
      <c r="R20" s="276">
        <f>SUM(F20:Q20)</f>
        <v>0</v>
      </c>
      <c r="S20" s="275"/>
      <c r="T20" s="699">
        <f t="shared" si="0"/>
        <v>0</v>
      </c>
      <c r="U20" s="299">
        <f>IFERROR(-U19/(E19+V19),0)</f>
        <v>0</v>
      </c>
      <c r="V20" s="776"/>
      <c r="W20" s="779"/>
      <c r="X20" s="220"/>
      <c r="Y20" s="266"/>
    </row>
    <row r="21" spans="1:25" ht="17.649999999999999" customHeight="1" outlineLevel="1" x14ac:dyDescent="0.2">
      <c r="A21" s="274" t="s">
        <v>358</v>
      </c>
      <c r="B21" s="273" t="str">
        <f>+B19</f>
        <v>Area 5</v>
      </c>
      <c r="C21" s="271">
        <f t="shared" ref="C21" si="9">IFERROR(C19/C20,0)</f>
        <v>0</v>
      </c>
      <c r="D21" s="269">
        <f t="shared" ref="D21:S21" si="10">IFERROR(D19/D20,0)</f>
        <v>0</v>
      </c>
      <c r="E21" s="272">
        <f t="shared" si="10"/>
        <v>0</v>
      </c>
      <c r="F21" s="271">
        <f t="shared" si="10"/>
        <v>0</v>
      </c>
      <c r="G21" s="269">
        <f t="shared" si="10"/>
        <v>0</v>
      </c>
      <c r="H21" s="269">
        <f t="shared" si="10"/>
        <v>0</v>
      </c>
      <c r="I21" s="269">
        <f t="shared" si="10"/>
        <v>0</v>
      </c>
      <c r="J21" s="269">
        <f t="shared" si="10"/>
        <v>0</v>
      </c>
      <c r="K21" s="269">
        <f t="shared" si="10"/>
        <v>0</v>
      </c>
      <c r="L21" s="269">
        <f t="shared" si="10"/>
        <v>0</v>
      </c>
      <c r="M21" s="269">
        <f t="shared" si="10"/>
        <v>0</v>
      </c>
      <c r="N21" s="269">
        <f t="shared" si="10"/>
        <v>0</v>
      </c>
      <c r="O21" s="269">
        <f t="shared" si="10"/>
        <v>0</v>
      </c>
      <c r="P21" s="269">
        <f t="shared" si="10"/>
        <v>0</v>
      </c>
      <c r="Q21" s="270">
        <f t="shared" si="10"/>
        <v>0</v>
      </c>
      <c r="R21" s="269">
        <f t="shared" si="10"/>
        <v>0</v>
      </c>
      <c r="S21" s="269">
        <f t="shared" si="10"/>
        <v>0</v>
      </c>
      <c r="T21" s="268">
        <f t="shared" si="0"/>
        <v>0</v>
      </c>
      <c r="U21" s="269"/>
      <c r="V21" s="269"/>
      <c r="W21" s="268"/>
      <c r="X21" s="220"/>
      <c r="Y21" s="266"/>
    </row>
    <row r="22" spans="1:25" ht="17.649999999999999" customHeight="1" outlineLevel="1" x14ac:dyDescent="0.2">
      <c r="A22" s="282" t="s">
        <v>359</v>
      </c>
      <c r="B22" s="282" t="s">
        <v>360</v>
      </c>
      <c r="C22" s="667"/>
      <c r="D22" s="285"/>
      <c r="E22" s="284"/>
      <c r="F22" s="280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0"/>
      <c r="R22" s="276">
        <f>SUM(F22:Q22)</f>
        <v>0</v>
      </c>
      <c r="S22" s="275"/>
      <c r="T22" s="699">
        <f t="shared" si="0"/>
        <v>0</v>
      </c>
      <c r="U22" s="302">
        <f>R22-E24*R23</f>
        <v>0</v>
      </c>
      <c r="V22" s="776">
        <f>IFERROR(R23/E23*E22-E22,0)</f>
        <v>0</v>
      </c>
      <c r="W22" s="779"/>
      <c r="X22" s="220"/>
      <c r="Y22" s="266"/>
    </row>
    <row r="23" spans="1:25" ht="17.649999999999999" customHeight="1" outlineLevel="1" x14ac:dyDescent="0.2">
      <c r="A23" s="282" t="s">
        <v>361</v>
      </c>
      <c r="B23" s="282" t="str">
        <f>B22</f>
        <v>Area 6</v>
      </c>
      <c r="C23" s="280"/>
      <c r="D23" s="285"/>
      <c r="E23" s="284"/>
      <c r="F23" s="280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0"/>
      <c r="R23" s="276">
        <f>SUM(F23:Q23)</f>
        <v>0</v>
      </c>
      <c r="S23" s="275"/>
      <c r="T23" s="699">
        <f t="shared" si="0"/>
        <v>0</v>
      </c>
      <c r="U23" s="299">
        <f>IFERROR(-U22/(E22+V22),0)</f>
        <v>0</v>
      </c>
      <c r="V23" s="776"/>
      <c r="W23" s="779"/>
      <c r="X23" s="220"/>
      <c r="Y23" s="266"/>
    </row>
    <row r="24" spans="1:25" ht="17.649999999999999" customHeight="1" outlineLevel="1" x14ac:dyDescent="0.2">
      <c r="A24" s="274" t="s">
        <v>362</v>
      </c>
      <c r="B24" s="273" t="str">
        <f>B22</f>
        <v>Area 6</v>
      </c>
      <c r="C24" s="271">
        <f t="shared" ref="C24" si="11">IFERROR(C22/C23,0)</f>
        <v>0</v>
      </c>
      <c r="D24" s="269">
        <f t="shared" ref="D24:S24" si="12">IFERROR(D22/D23,0)</f>
        <v>0</v>
      </c>
      <c r="E24" s="272">
        <f t="shared" si="12"/>
        <v>0</v>
      </c>
      <c r="F24" s="271">
        <f t="shared" si="12"/>
        <v>0</v>
      </c>
      <c r="G24" s="269">
        <f t="shared" si="12"/>
        <v>0</v>
      </c>
      <c r="H24" s="269">
        <f t="shared" si="12"/>
        <v>0</v>
      </c>
      <c r="I24" s="269">
        <f t="shared" si="12"/>
        <v>0</v>
      </c>
      <c r="J24" s="269">
        <f t="shared" si="12"/>
        <v>0</v>
      </c>
      <c r="K24" s="269">
        <f t="shared" si="12"/>
        <v>0</v>
      </c>
      <c r="L24" s="269">
        <f t="shared" si="12"/>
        <v>0</v>
      </c>
      <c r="M24" s="269">
        <f t="shared" si="12"/>
        <v>0</v>
      </c>
      <c r="N24" s="269">
        <f t="shared" si="12"/>
        <v>0</v>
      </c>
      <c r="O24" s="269">
        <f t="shared" si="12"/>
        <v>0</v>
      </c>
      <c r="P24" s="269">
        <f t="shared" si="12"/>
        <v>0</v>
      </c>
      <c r="Q24" s="270">
        <f t="shared" si="12"/>
        <v>0</v>
      </c>
      <c r="R24" s="269">
        <f t="shared" si="12"/>
        <v>0</v>
      </c>
      <c r="S24" s="269">
        <f t="shared" si="12"/>
        <v>0</v>
      </c>
      <c r="T24" s="268">
        <f t="shared" si="0"/>
        <v>0</v>
      </c>
      <c r="U24" s="269"/>
      <c r="V24" s="269"/>
      <c r="W24" s="268"/>
      <c r="X24" s="220"/>
      <c r="Y24" s="266"/>
    </row>
    <row r="25" spans="1:25" ht="17.649999999999999" customHeight="1" outlineLevel="1" x14ac:dyDescent="0.2">
      <c r="A25" s="282" t="s">
        <v>363</v>
      </c>
      <c r="B25" s="281" t="s">
        <v>364</v>
      </c>
      <c r="C25" s="667"/>
      <c r="D25" s="285"/>
      <c r="E25" s="284"/>
      <c r="F25" s="279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7"/>
      <c r="R25" s="276">
        <f>SUM(F25:Q25)</f>
        <v>0</v>
      </c>
      <c r="S25" s="275"/>
      <c r="T25" s="699">
        <f t="shared" si="0"/>
        <v>0</v>
      </c>
      <c r="U25" s="302">
        <f>R25-E27*R26</f>
        <v>0</v>
      </c>
      <c r="V25" s="776">
        <f>IFERROR(R26/E26*E25-E25,0)</f>
        <v>0</v>
      </c>
      <c r="W25" s="779"/>
      <c r="X25" s="220"/>
      <c r="Y25" s="266"/>
    </row>
    <row r="26" spans="1:25" ht="17.649999999999999" customHeight="1" outlineLevel="1" x14ac:dyDescent="0.2">
      <c r="A26" s="282" t="s">
        <v>365</v>
      </c>
      <c r="B26" s="281" t="str">
        <f>B25</f>
        <v>Area 7</v>
      </c>
      <c r="C26" s="280"/>
      <c r="D26" s="285"/>
      <c r="E26" s="284"/>
      <c r="F26" s="279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7"/>
      <c r="R26" s="276">
        <f>SUM(F26:Q26)</f>
        <v>0</v>
      </c>
      <c r="S26" s="275"/>
      <c r="T26" s="699">
        <f t="shared" si="0"/>
        <v>0</v>
      </c>
      <c r="U26" s="299">
        <f>IFERROR(-U25/(E25+V25),0)</f>
        <v>0</v>
      </c>
      <c r="V26" s="776"/>
      <c r="W26" s="779"/>
      <c r="X26" s="220"/>
      <c r="Y26" s="266"/>
    </row>
    <row r="27" spans="1:25" ht="17.649999999999999" customHeight="1" outlineLevel="1" x14ac:dyDescent="0.2">
      <c r="A27" s="274" t="s">
        <v>366</v>
      </c>
      <c r="B27" s="273" t="str">
        <f>B25</f>
        <v>Area 7</v>
      </c>
      <c r="C27" s="271">
        <f t="shared" ref="C27:S27" si="13">IFERROR(C25/C26,0)</f>
        <v>0</v>
      </c>
      <c r="D27" s="269">
        <f t="shared" si="13"/>
        <v>0</v>
      </c>
      <c r="E27" s="272">
        <f t="shared" si="13"/>
        <v>0</v>
      </c>
      <c r="F27" s="271">
        <f t="shared" si="13"/>
        <v>0</v>
      </c>
      <c r="G27" s="269">
        <f t="shared" si="13"/>
        <v>0</v>
      </c>
      <c r="H27" s="269">
        <f t="shared" si="13"/>
        <v>0</v>
      </c>
      <c r="I27" s="269">
        <f t="shared" si="13"/>
        <v>0</v>
      </c>
      <c r="J27" s="269">
        <f t="shared" si="13"/>
        <v>0</v>
      </c>
      <c r="K27" s="269">
        <f t="shared" si="13"/>
        <v>0</v>
      </c>
      <c r="L27" s="269">
        <f t="shared" si="13"/>
        <v>0</v>
      </c>
      <c r="M27" s="269">
        <f t="shared" si="13"/>
        <v>0</v>
      </c>
      <c r="N27" s="269">
        <f t="shared" si="13"/>
        <v>0</v>
      </c>
      <c r="O27" s="269">
        <f t="shared" si="13"/>
        <v>0</v>
      </c>
      <c r="P27" s="269">
        <f t="shared" si="13"/>
        <v>0</v>
      </c>
      <c r="Q27" s="270">
        <f t="shared" si="13"/>
        <v>0</v>
      </c>
      <c r="R27" s="269">
        <f t="shared" si="13"/>
        <v>0</v>
      </c>
      <c r="S27" s="269">
        <f t="shared" si="13"/>
        <v>0</v>
      </c>
      <c r="T27" s="268">
        <f>R27-E27</f>
        <v>0</v>
      </c>
      <c r="U27" s="269"/>
      <c r="V27" s="269"/>
      <c r="W27" s="268"/>
      <c r="X27" s="220"/>
      <c r="Y27" s="266"/>
    </row>
    <row r="28" spans="1:25" ht="17.649999999999999" customHeight="1" outlineLevel="1" x14ac:dyDescent="0.2">
      <c r="A28" s="282" t="s">
        <v>367</v>
      </c>
      <c r="B28" s="281" t="s">
        <v>368</v>
      </c>
      <c r="C28" s="667"/>
      <c r="D28" s="285"/>
      <c r="E28" s="284"/>
      <c r="F28" s="279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7"/>
      <c r="R28" s="276">
        <f>SUM(F28:Q28)</f>
        <v>0</v>
      </c>
      <c r="S28" s="275"/>
      <c r="T28" s="699">
        <f t="shared" si="0"/>
        <v>0</v>
      </c>
      <c r="U28" s="302">
        <f>R28-E30*R29</f>
        <v>0</v>
      </c>
      <c r="V28" s="776">
        <f>IFERROR(R29/E29*E28-E28,0)</f>
        <v>0</v>
      </c>
      <c r="W28" s="779"/>
      <c r="X28" s="220"/>
      <c r="Y28" s="266"/>
    </row>
    <row r="29" spans="1:25" ht="17.649999999999999" customHeight="1" outlineLevel="1" x14ac:dyDescent="0.2">
      <c r="A29" s="282" t="s">
        <v>369</v>
      </c>
      <c r="B29" s="281" t="str">
        <f>B28</f>
        <v>Area 8</v>
      </c>
      <c r="C29" s="280"/>
      <c r="D29" s="285"/>
      <c r="E29" s="284"/>
      <c r="F29" s="279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7"/>
      <c r="R29" s="276">
        <f>SUM(F29:Q29)</f>
        <v>0</v>
      </c>
      <c r="S29" s="275"/>
      <c r="T29" s="699">
        <f t="shared" si="0"/>
        <v>0</v>
      </c>
      <c r="U29" s="299">
        <f>IFERROR(-U28/(E28+V28),0)</f>
        <v>0</v>
      </c>
      <c r="V29" s="776"/>
      <c r="W29" s="779"/>
      <c r="X29" s="220"/>
      <c r="Y29" s="266"/>
    </row>
    <row r="30" spans="1:25" ht="17.649999999999999" customHeight="1" outlineLevel="1" x14ac:dyDescent="0.2">
      <c r="A30" s="274" t="s">
        <v>370</v>
      </c>
      <c r="B30" s="273" t="str">
        <f>B28</f>
        <v>Area 8</v>
      </c>
      <c r="C30" s="271">
        <f t="shared" ref="C30:S30" si="14">IFERROR(C28/C29,0)</f>
        <v>0</v>
      </c>
      <c r="D30" s="269">
        <f t="shared" si="14"/>
        <v>0</v>
      </c>
      <c r="E30" s="272">
        <f t="shared" si="14"/>
        <v>0</v>
      </c>
      <c r="F30" s="271">
        <f t="shared" si="14"/>
        <v>0</v>
      </c>
      <c r="G30" s="269">
        <f t="shared" si="14"/>
        <v>0</v>
      </c>
      <c r="H30" s="269">
        <f t="shared" si="14"/>
        <v>0</v>
      </c>
      <c r="I30" s="269">
        <f t="shared" si="14"/>
        <v>0</v>
      </c>
      <c r="J30" s="269">
        <f t="shared" si="14"/>
        <v>0</v>
      </c>
      <c r="K30" s="269">
        <f t="shared" si="14"/>
        <v>0</v>
      </c>
      <c r="L30" s="269">
        <f t="shared" si="14"/>
        <v>0</v>
      </c>
      <c r="M30" s="269">
        <f t="shared" si="14"/>
        <v>0</v>
      </c>
      <c r="N30" s="269">
        <f t="shared" si="14"/>
        <v>0</v>
      </c>
      <c r="O30" s="269">
        <f t="shared" si="14"/>
        <v>0</v>
      </c>
      <c r="P30" s="269">
        <f t="shared" si="14"/>
        <v>0</v>
      </c>
      <c r="Q30" s="270">
        <f t="shared" si="14"/>
        <v>0</v>
      </c>
      <c r="R30" s="269">
        <f t="shared" si="14"/>
        <v>0</v>
      </c>
      <c r="S30" s="269">
        <f t="shared" si="14"/>
        <v>0</v>
      </c>
      <c r="T30" s="268">
        <f>R30-E30</f>
        <v>0</v>
      </c>
      <c r="U30" s="269"/>
      <c r="V30" s="269"/>
      <c r="W30" s="268"/>
      <c r="X30" s="220"/>
      <c r="Y30" s="266"/>
    </row>
    <row r="31" spans="1:25" ht="17.649999999999999" customHeight="1" outlineLevel="1" x14ac:dyDescent="0.2">
      <c r="A31" s="282" t="s">
        <v>371</v>
      </c>
      <c r="B31" s="281" t="s">
        <v>372</v>
      </c>
      <c r="C31" s="667"/>
      <c r="D31" s="285"/>
      <c r="E31" s="284"/>
      <c r="F31" s="279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7"/>
      <c r="R31" s="276">
        <f>SUM(F31:Q31)</f>
        <v>0</v>
      </c>
      <c r="S31" s="275"/>
      <c r="T31" s="699">
        <f t="shared" si="0"/>
        <v>0</v>
      </c>
      <c r="U31" s="302">
        <f>R31-E33*R32</f>
        <v>0</v>
      </c>
      <c r="V31" s="776">
        <f>IFERROR(R32/E32*E31-E31,0)</f>
        <v>0</v>
      </c>
      <c r="W31" s="779"/>
      <c r="X31" s="220"/>
      <c r="Y31" s="266"/>
    </row>
    <row r="32" spans="1:25" ht="17.649999999999999" customHeight="1" outlineLevel="1" x14ac:dyDescent="0.2">
      <c r="A32" s="282" t="s">
        <v>373</v>
      </c>
      <c r="B32" s="281" t="str">
        <f>B31</f>
        <v>Area 9</v>
      </c>
      <c r="C32" s="280"/>
      <c r="D32" s="285"/>
      <c r="E32" s="284"/>
      <c r="F32" s="279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7"/>
      <c r="R32" s="276">
        <f>SUM(F32:Q32)</f>
        <v>0</v>
      </c>
      <c r="S32" s="275"/>
      <c r="T32" s="699">
        <f t="shared" si="0"/>
        <v>0</v>
      </c>
      <c r="U32" s="299">
        <f>IFERROR(-U31/(E31+V31),0)</f>
        <v>0</v>
      </c>
      <c r="V32" s="776"/>
      <c r="W32" s="779"/>
      <c r="X32" s="220"/>
      <c r="Y32" s="266"/>
    </row>
    <row r="33" spans="1:25" ht="17.649999999999999" customHeight="1" outlineLevel="1" x14ac:dyDescent="0.2">
      <c r="A33" s="274" t="s">
        <v>374</v>
      </c>
      <c r="B33" s="273" t="str">
        <f>B32</f>
        <v>Area 9</v>
      </c>
      <c r="C33" s="271">
        <f t="shared" ref="C33:S33" si="15">IFERROR(C31/C32,0)</f>
        <v>0</v>
      </c>
      <c r="D33" s="269">
        <f t="shared" si="15"/>
        <v>0</v>
      </c>
      <c r="E33" s="272">
        <f t="shared" si="15"/>
        <v>0</v>
      </c>
      <c r="F33" s="271">
        <f t="shared" si="15"/>
        <v>0</v>
      </c>
      <c r="G33" s="269">
        <f t="shared" si="15"/>
        <v>0</v>
      </c>
      <c r="H33" s="269">
        <f t="shared" si="15"/>
        <v>0</v>
      </c>
      <c r="I33" s="269">
        <f t="shared" si="15"/>
        <v>0</v>
      </c>
      <c r="J33" s="269">
        <f t="shared" si="15"/>
        <v>0</v>
      </c>
      <c r="K33" s="269">
        <f t="shared" si="15"/>
        <v>0</v>
      </c>
      <c r="L33" s="269">
        <f t="shared" si="15"/>
        <v>0</v>
      </c>
      <c r="M33" s="269">
        <f t="shared" si="15"/>
        <v>0</v>
      </c>
      <c r="N33" s="269">
        <f t="shared" si="15"/>
        <v>0</v>
      </c>
      <c r="O33" s="269">
        <f t="shared" si="15"/>
        <v>0</v>
      </c>
      <c r="P33" s="269">
        <f t="shared" si="15"/>
        <v>0</v>
      </c>
      <c r="Q33" s="270">
        <f t="shared" si="15"/>
        <v>0</v>
      </c>
      <c r="R33" s="269">
        <f t="shared" si="15"/>
        <v>0</v>
      </c>
      <c r="S33" s="269">
        <f t="shared" si="15"/>
        <v>0</v>
      </c>
      <c r="T33" s="268">
        <f>R33-E33</f>
        <v>0</v>
      </c>
      <c r="U33" s="269"/>
      <c r="V33" s="269"/>
      <c r="W33" s="268"/>
      <c r="X33" s="220"/>
      <c r="Y33" s="266"/>
    </row>
    <row r="34" spans="1:25" ht="17.649999999999999" customHeight="1" outlineLevel="1" x14ac:dyDescent="0.2">
      <c r="A34" s="282" t="s">
        <v>375</v>
      </c>
      <c r="B34" s="281" t="s">
        <v>376</v>
      </c>
      <c r="C34" s="667"/>
      <c r="D34" s="285"/>
      <c r="E34" s="284"/>
      <c r="F34" s="279"/>
      <c r="G34" s="278"/>
      <c r="H34" s="278"/>
      <c r="I34" s="278"/>
      <c r="J34" s="278"/>
      <c r="K34" s="278"/>
      <c r="L34" s="278"/>
      <c r="M34" s="278"/>
      <c r="N34" s="278"/>
      <c r="O34" s="278"/>
      <c r="P34" s="278"/>
      <c r="Q34" s="277"/>
      <c r="R34" s="276">
        <f>SUM(F34:Q34)</f>
        <v>0</v>
      </c>
      <c r="S34" s="275"/>
      <c r="T34" s="699">
        <f t="shared" si="0"/>
        <v>0</v>
      </c>
      <c r="U34" s="302">
        <f>R34-E36*R35</f>
        <v>0</v>
      </c>
      <c r="V34" s="776">
        <f>IFERROR(R35/E35*E34-E34,0)</f>
        <v>0</v>
      </c>
      <c r="W34" s="779"/>
      <c r="X34" s="220"/>
      <c r="Y34" s="266"/>
    </row>
    <row r="35" spans="1:25" ht="17.649999999999999" customHeight="1" outlineLevel="1" x14ac:dyDescent="0.2">
      <c r="A35" s="282" t="s">
        <v>377</v>
      </c>
      <c r="B35" s="281" t="str">
        <f>B34</f>
        <v>Area 10</v>
      </c>
      <c r="C35" s="280"/>
      <c r="D35" s="285"/>
      <c r="E35" s="284"/>
      <c r="F35" s="279"/>
      <c r="G35" s="278"/>
      <c r="H35" s="278"/>
      <c r="I35" s="278"/>
      <c r="J35" s="278"/>
      <c r="K35" s="278"/>
      <c r="L35" s="278"/>
      <c r="M35" s="278"/>
      <c r="N35" s="278"/>
      <c r="O35" s="278"/>
      <c r="P35" s="278"/>
      <c r="Q35" s="277"/>
      <c r="R35" s="276">
        <f>SUM(F35:Q35)</f>
        <v>0</v>
      </c>
      <c r="S35" s="275"/>
      <c r="T35" s="699">
        <f t="shared" si="0"/>
        <v>0</v>
      </c>
      <c r="U35" s="299">
        <f>IFERROR(-U34/(E34+V34),0)</f>
        <v>0</v>
      </c>
      <c r="V35" s="776"/>
      <c r="W35" s="779"/>
      <c r="X35" s="220"/>
      <c r="Y35" s="266"/>
    </row>
    <row r="36" spans="1:25" ht="17.649999999999999" customHeight="1" outlineLevel="1" x14ac:dyDescent="0.2">
      <c r="A36" s="274" t="s">
        <v>378</v>
      </c>
      <c r="B36" s="273" t="str">
        <f>B34</f>
        <v>Area 10</v>
      </c>
      <c r="C36" s="271">
        <f t="shared" ref="C36:S36" si="16">IFERROR(C34/C35,0)</f>
        <v>0</v>
      </c>
      <c r="D36" s="269">
        <f t="shared" si="16"/>
        <v>0</v>
      </c>
      <c r="E36" s="272">
        <f t="shared" si="16"/>
        <v>0</v>
      </c>
      <c r="F36" s="271">
        <f t="shared" si="16"/>
        <v>0</v>
      </c>
      <c r="G36" s="269">
        <f t="shared" si="16"/>
        <v>0</v>
      </c>
      <c r="H36" s="269">
        <f t="shared" si="16"/>
        <v>0</v>
      </c>
      <c r="I36" s="269">
        <f t="shared" si="16"/>
        <v>0</v>
      </c>
      <c r="J36" s="269">
        <f t="shared" si="16"/>
        <v>0</v>
      </c>
      <c r="K36" s="269">
        <f t="shared" si="16"/>
        <v>0</v>
      </c>
      <c r="L36" s="269">
        <f t="shared" si="16"/>
        <v>0</v>
      </c>
      <c r="M36" s="269">
        <f t="shared" si="16"/>
        <v>0</v>
      </c>
      <c r="N36" s="269">
        <f t="shared" si="16"/>
        <v>0</v>
      </c>
      <c r="O36" s="269">
        <f t="shared" si="16"/>
        <v>0</v>
      </c>
      <c r="P36" s="269">
        <f t="shared" si="16"/>
        <v>0</v>
      </c>
      <c r="Q36" s="270">
        <f t="shared" si="16"/>
        <v>0</v>
      </c>
      <c r="R36" s="269">
        <f t="shared" si="16"/>
        <v>0</v>
      </c>
      <c r="S36" s="269">
        <f t="shared" si="16"/>
        <v>0</v>
      </c>
      <c r="T36" s="268">
        <f>R36-E36</f>
        <v>0</v>
      </c>
      <c r="U36" s="269"/>
      <c r="V36" s="269"/>
      <c r="W36" s="268"/>
      <c r="X36" s="220"/>
      <c r="Y36" s="266"/>
    </row>
    <row r="37" spans="1:25" ht="17.649999999999999" customHeight="1" outlineLevel="1" x14ac:dyDescent="0.2">
      <c r="A37" s="282" t="s">
        <v>379</v>
      </c>
      <c r="B37" s="281" t="s">
        <v>380</v>
      </c>
      <c r="C37" s="668">
        <f>C80-SUM(C7,C10,C13,C16,C19,C22,C25,C28,C31,C34,C45,C46,C47,C50,C55,C60,C65)</f>
        <v>0</v>
      </c>
      <c r="D37" s="285"/>
      <c r="E37" s="323">
        <f t="shared" ref="E37:Q37" si="17">E80-SUM(E7,E10,E13,E16,E19,E22,E25,E28,E31,E34,E45,E46,E47,E50,E55,E60,E65)</f>
        <v>0</v>
      </c>
      <c r="F37" s="668">
        <f t="shared" si="17"/>
        <v>2.20379024540307E-6</v>
      </c>
      <c r="G37" s="669">
        <f t="shared" si="17"/>
        <v>1.0700372240535216E-4</v>
      </c>
      <c r="H37" s="669">
        <f t="shared" si="17"/>
        <v>-2.8225752066646237E-4</v>
      </c>
      <c r="I37" s="669">
        <f t="shared" si="17"/>
        <v>1.0700372240535216E-4</v>
      </c>
      <c r="J37" s="669">
        <f t="shared" si="17"/>
        <v>-4.6123525589791825E-4</v>
      </c>
      <c r="K37" s="669">
        <f t="shared" si="17"/>
        <v>-2.7386922738514841E-5</v>
      </c>
      <c r="L37" s="669">
        <f t="shared" si="17"/>
        <v>3.6478556285146624E-4</v>
      </c>
      <c r="M37" s="669">
        <f t="shared" si="17"/>
        <v>1.0092854881804669E-4</v>
      </c>
      <c r="N37" s="669">
        <f t="shared" si="17"/>
        <v>4.5098527152731549E-5</v>
      </c>
      <c r="O37" s="669">
        <f t="shared" si="17"/>
        <v>-3.0441396575042745E-4</v>
      </c>
      <c r="P37" s="669">
        <f t="shared" si="17"/>
        <v>-4.0427129169984255E-4</v>
      </c>
      <c r="Q37" s="670">
        <f t="shared" si="17"/>
        <v>7.5254111197864404E-4</v>
      </c>
      <c r="R37" s="276">
        <f>SUM(F37:Q37)</f>
        <v>2.9103830456733704E-11</v>
      </c>
      <c r="S37" s="275"/>
      <c r="T37" s="699">
        <f t="shared" si="0"/>
        <v>2.9103830456733704E-11</v>
      </c>
      <c r="U37" s="302">
        <f>R37-E39*R38</f>
        <v>2.9103830456733704E-11</v>
      </c>
      <c r="V37" s="776">
        <f>IFERROR(R38/E38*E37-E37,0)</f>
        <v>0</v>
      </c>
      <c r="W37" s="779"/>
      <c r="X37" s="220"/>
      <c r="Y37" s="266"/>
    </row>
    <row r="38" spans="1:25" ht="17.649999999999999" customHeight="1" outlineLevel="1" x14ac:dyDescent="0.2">
      <c r="A38" s="282" t="s">
        <v>381</v>
      </c>
      <c r="B38" s="281" t="s">
        <v>380</v>
      </c>
      <c r="C38" s="668">
        <f>C82-SUM(C8,C11,C14,C17,C20,C23,C26,C29,C32,C35,C52,C57,C62,C67)</f>
        <v>0</v>
      </c>
      <c r="D38" s="285"/>
      <c r="E38" s="323">
        <f t="shared" ref="E38:Q38" si="18">E82-SUM(E8,E11,E14,E17,E20,E23,E26,E29,E32,E35,E52,E57,E62,E67)</f>
        <v>0</v>
      </c>
      <c r="F38" s="668">
        <f t="shared" si="18"/>
        <v>104927.38250000007</v>
      </c>
      <c r="G38" s="669">
        <f t="shared" si="18"/>
        <v>104927.38250000007</v>
      </c>
      <c r="H38" s="669">
        <f t="shared" si="18"/>
        <v>104927.38300000015</v>
      </c>
      <c r="I38" s="669">
        <f t="shared" si="18"/>
        <v>104927.38250000007</v>
      </c>
      <c r="J38" s="669">
        <f t="shared" si="18"/>
        <v>104927.38250000007</v>
      </c>
      <c r="K38" s="669">
        <f t="shared" si="18"/>
        <v>104927.3825000003</v>
      </c>
      <c r="L38" s="669">
        <f t="shared" si="18"/>
        <v>104927.38300000038</v>
      </c>
      <c r="M38" s="669">
        <f t="shared" si="18"/>
        <v>104927.38249999983</v>
      </c>
      <c r="N38" s="669">
        <f t="shared" si="18"/>
        <v>104927.38249999983</v>
      </c>
      <c r="O38" s="669">
        <f t="shared" si="18"/>
        <v>104927.38300000015</v>
      </c>
      <c r="P38" s="669">
        <f t="shared" si="18"/>
        <v>104927.38249999983</v>
      </c>
      <c r="Q38" s="670">
        <f t="shared" si="18"/>
        <v>104927.38550000056</v>
      </c>
      <c r="R38" s="276">
        <f>SUM(F38:Q38)</f>
        <v>1259128.5945000013</v>
      </c>
      <c r="S38" s="275"/>
      <c r="T38" s="699">
        <f>R38-E38</f>
        <v>1259128.5945000013</v>
      </c>
      <c r="U38" s="299">
        <f>IFERROR(-U37/(E37+V37),0)</f>
        <v>0</v>
      </c>
      <c r="V38" s="776"/>
      <c r="W38" s="779"/>
      <c r="X38" s="220"/>
      <c r="Y38" s="266"/>
    </row>
    <row r="39" spans="1:25" ht="17.649999999999999" customHeight="1" outlineLevel="1" x14ac:dyDescent="0.2">
      <c r="A39" s="274" t="s">
        <v>382</v>
      </c>
      <c r="B39" s="273" t="s">
        <v>380</v>
      </c>
      <c r="C39" s="271">
        <f t="shared" ref="C39:S39" si="19">IFERROR(C37/C38,0)</f>
        <v>0</v>
      </c>
      <c r="D39" s="269">
        <f t="shared" si="19"/>
        <v>0</v>
      </c>
      <c r="E39" s="272">
        <f t="shared" si="19"/>
        <v>0</v>
      </c>
      <c r="F39" s="271">
        <f t="shared" si="19"/>
        <v>2.1003004105273174E-11</v>
      </c>
      <c r="G39" s="269">
        <f t="shared" si="19"/>
        <v>1.0197883512947833E-9</v>
      </c>
      <c r="H39" s="269">
        <f t="shared" si="19"/>
        <v>-2.6900272607243239E-9</v>
      </c>
      <c r="I39" s="269">
        <f t="shared" si="19"/>
        <v>1.0197883512947833E-9</v>
      </c>
      <c r="J39" s="269">
        <f t="shared" si="19"/>
        <v>-4.395756807313076E-9</v>
      </c>
      <c r="K39" s="269">
        <f t="shared" si="19"/>
        <v>-2.6100834773529932E-10</v>
      </c>
      <c r="L39" s="269">
        <f t="shared" si="19"/>
        <v>3.4765525682791968E-9</v>
      </c>
      <c r="M39" s="269">
        <f t="shared" si="19"/>
        <v>9.6188951266412124E-10</v>
      </c>
      <c r="N39" s="269">
        <f t="shared" si="19"/>
        <v>4.2980703490560837E-10</v>
      </c>
      <c r="O39" s="269">
        <f t="shared" si="19"/>
        <v>-2.9011870595345642E-9</v>
      </c>
      <c r="P39" s="269">
        <f t="shared" si="19"/>
        <v>-3.8528674028425629E-9</v>
      </c>
      <c r="Q39" s="270">
        <f t="shared" si="19"/>
        <v>7.1720181379973492E-9</v>
      </c>
      <c r="R39" s="269">
        <f t="shared" si="19"/>
        <v>2.3114263772470996E-17</v>
      </c>
      <c r="S39" s="269">
        <f t="shared" si="19"/>
        <v>0</v>
      </c>
      <c r="T39" s="268">
        <f>R39-E39</f>
        <v>2.3114263772470996E-17</v>
      </c>
      <c r="U39" s="269"/>
      <c r="V39" s="269"/>
      <c r="W39" s="268"/>
      <c r="X39" s="220"/>
      <c r="Y39" s="266"/>
    </row>
    <row r="40" spans="1:25" ht="17.649999999999999" customHeight="1" x14ac:dyDescent="0.2">
      <c r="A40" s="213" t="s">
        <v>383</v>
      </c>
      <c r="B40" s="214"/>
      <c r="C40" s="265">
        <f>C7+C10+C13+C16+C19+C22+C25+C28+C31+C34+C37</f>
        <v>-34169.339999999997</v>
      </c>
      <c r="D40" s="78">
        <f t="shared" ref="D40:Q40" si="20">D7+D10+D13+D16+D19+D22+D25+D28+D31+D34+D37</f>
        <v>0</v>
      </c>
      <c r="E40" s="80">
        <f t="shared" si="20"/>
        <v>-187369.769</v>
      </c>
      <c r="F40" s="265">
        <f t="shared" si="20"/>
        <v>-6865.7489999999998</v>
      </c>
      <c r="G40" s="78">
        <f t="shared" si="20"/>
        <v>-6865.8019999999997</v>
      </c>
      <c r="H40" s="78">
        <f t="shared" si="20"/>
        <v>-6681.54</v>
      </c>
      <c r="I40" s="78">
        <f t="shared" si="20"/>
        <v>-6865.8019999999997</v>
      </c>
      <c r="J40" s="78">
        <f t="shared" si="20"/>
        <v>-7050.2370000000001</v>
      </c>
      <c r="K40" s="78">
        <f t="shared" si="20"/>
        <v>-6549.8789999999999</v>
      </c>
      <c r="L40" s="78">
        <f t="shared" si="20"/>
        <v>-7111.3450000000003</v>
      </c>
      <c r="M40" s="78">
        <f t="shared" si="20"/>
        <v>-6923.8190000000004</v>
      </c>
      <c r="N40" s="78">
        <f t="shared" si="20"/>
        <v>-6175.2269999999999</v>
      </c>
      <c r="O40" s="78">
        <f t="shared" si="20"/>
        <v>-7110.9809999999998</v>
      </c>
      <c r="P40" s="78">
        <f t="shared" si="20"/>
        <v>-6923.6959999999999</v>
      </c>
      <c r="Q40" s="264">
        <f t="shared" si="20"/>
        <v>-5988.0079999999998</v>
      </c>
      <c r="R40" s="78">
        <f>R7+R10+R13+R16+R19+R22+R25+R28+R31+R34+R37</f>
        <v>-81112.084999999977</v>
      </c>
      <c r="S40" s="264"/>
      <c r="T40" s="286">
        <f t="shared" si="0"/>
        <v>106257.68400000002</v>
      </c>
      <c r="U40" s="258">
        <f>R40-E42*R41</f>
        <v>100602.25761993167</v>
      </c>
      <c r="V40" s="78">
        <f>IFERROR(R41/E41*E40-E40,0)</f>
        <v>5655.4263800683548</v>
      </c>
      <c r="W40" s="778"/>
      <c r="X40" s="220"/>
      <c r="Y40" s="266"/>
    </row>
    <row r="41" spans="1:25" ht="17.649999999999999" customHeight="1" x14ac:dyDescent="0.2">
      <c r="A41" s="213" t="s">
        <v>384</v>
      </c>
      <c r="B41" s="214"/>
      <c r="C41" s="265">
        <f>C8+C11+C14+C17+C20+C23+C26+C29+C32+C35+C38</f>
        <v>10156179.187999999</v>
      </c>
      <c r="D41" s="78">
        <f t="shared" ref="D41:Q41" si="21">D8+D11+D14+D17+D20+D23+D26+D29+D32+D35+D38</f>
        <v>0</v>
      </c>
      <c r="E41" s="80">
        <f t="shared" si="21"/>
        <v>21211769.708999999</v>
      </c>
      <c r="F41" s="265">
        <f t="shared" si="21"/>
        <v>1739629.5279999999</v>
      </c>
      <c r="G41" s="78">
        <f t="shared" si="21"/>
        <v>1739642.172</v>
      </c>
      <c r="H41" s="78">
        <f t="shared" si="21"/>
        <v>1695770.175</v>
      </c>
      <c r="I41" s="78">
        <f t="shared" si="21"/>
        <v>1739642.172</v>
      </c>
      <c r="J41" s="78">
        <f t="shared" si="21"/>
        <v>1783555.132</v>
      </c>
      <c r="K41" s="78">
        <f t="shared" si="21"/>
        <v>1664422.378</v>
      </c>
      <c r="L41" s="78">
        <f t="shared" si="21"/>
        <v>1798104.8529999999</v>
      </c>
      <c r="M41" s="78">
        <f t="shared" si="21"/>
        <v>1753455.7420000001</v>
      </c>
      <c r="N41" s="78">
        <f t="shared" si="21"/>
        <v>1575219.5379999999</v>
      </c>
      <c r="O41" s="78">
        <f t="shared" si="21"/>
        <v>1798018.027</v>
      </c>
      <c r="P41" s="78">
        <f t="shared" si="21"/>
        <v>1753426.3359999999</v>
      </c>
      <c r="Q41" s="264">
        <f t="shared" si="21"/>
        <v>1530643.757</v>
      </c>
      <c r="R41" s="78">
        <f>R8+R11+R14+R17+R20+R23+R26+R29+R32+R35+R38</f>
        <v>20571529.809999999</v>
      </c>
      <c r="S41" s="264"/>
      <c r="T41" s="286">
        <f t="shared" si="0"/>
        <v>-640239.89900000021</v>
      </c>
      <c r="U41" s="258">
        <f>U7+U10+U13+U16+U19+U22</f>
        <v>89513.304560237797</v>
      </c>
      <c r="V41" s="78">
        <f>V7+V10+V13+V16+V19+V22</f>
        <v>16744.379439762193</v>
      </c>
      <c r="W41" s="778"/>
      <c r="X41" s="220"/>
      <c r="Y41" s="266"/>
    </row>
    <row r="42" spans="1:25" ht="17.649999999999999" customHeight="1" x14ac:dyDescent="0.2">
      <c r="A42" s="213" t="s">
        <v>385</v>
      </c>
      <c r="B42" s="214"/>
      <c r="C42" s="262">
        <f t="shared" ref="C42" si="22">IFERROR(C40/C41,0)</f>
        <v>-3.3643892420067451E-3</v>
      </c>
      <c r="D42" s="261">
        <f t="shared" ref="D42:R42" si="23">IFERROR(D40/D41,0)</f>
        <v>0</v>
      </c>
      <c r="E42" s="263">
        <f t="shared" si="23"/>
        <v>-8.8332926281252423E-3</v>
      </c>
      <c r="F42" s="262">
        <f t="shared" si="23"/>
        <v>-3.9466730642893529E-3</v>
      </c>
      <c r="G42" s="261">
        <f t="shared" si="23"/>
        <v>-3.9466748452681218E-3</v>
      </c>
      <c r="H42" s="261">
        <f t="shared" si="23"/>
        <v>-3.9401211900663364E-3</v>
      </c>
      <c r="I42" s="261">
        <f t="shared" si="23"/>
        <v>-3.9466748452681218E-3</v>
      </c>
      <c r="J42" s="261">
        <f t="shared" si="23"/>
        <v>-3.952912289340995E-3</v>
      </c>
      <c r="K42" s="261">
        <f t="shared" si="23"/>
        <v>-3.9352264705011077E-3</v>
      </c>
      <c r="L42" s="261">
        <f t="shared" si="23"/>
        <v>-3.9549111878182559E-3</v>
      </c>
      <c r="M42" s="261">
        <f t="shared" si="23"/>
        <v>-3.9486705219617686E-3</v>
      </c>
      <c r="N42" s="261">
        <f t="shared" si="23"/>
        <v>-3.9202326095069042E-3</v>
      </c>
      <c r="O42" s="261">
        <f t="shared" si="23"/>
        <v>-3.9548997247067091E-3</v>
      </c>
      <c r="P42" s="261">
        <f t="shared" si="23"/>
        <v>-3.9486665951389017E-3</v>
      </c>
      <c r="Q42" s="260">
        <f t="shared" si="23"/>
        <v>-3.9120846850322988E-3</v>
      </c>
      <c r="R42" s="261">
        <f t="shared" si="23"/>
        <v>-3.9429291719748861E-3</v>
      </c>
      <c r="S42" s="298"/>
      <c r="T42" s="259">
        <f t="shared" si="0"/>
        <v>4.8903634561503562E-3</v>
      </c>
      <c r="U42" s="261">
        <f>IFERROR(-U41/(E40+V41),0)</f>
        <v>0.52461890220995455</v>
      </c>
      <c r="V42" s="261"/>
      <c r="W42" s="778"/>
      <c r="X42" s="220"/>
      <c r="Y42" s="266"/>
    </row>
    <row r="43" spans="1:25" s="2" customFormat="1" ht="17.649999999999999" customHeight="1" x14ac:dyDescent="0.2">
      <c r="A43" s="257"/>
      <c r="B43" s="256"/>
      <c r="C43" s="296"/>
      <c r="D43" s="223"/>
      <c r="E43" s="297"/>
      <c r="F43" s="296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95"/>
      <c r="R43" s="223"/>
      <c r="S43" s="295"/>
      <c r="T43" s="294"/>
      <c r="U43" s="223"/>
      <c r="V43" s="223"/>
      <c r="W43" s="780"/>
      <c r="X43" s="242"/>
      <c r="Y43" s="292"/>
    </row>
    <row r="44" spans="1:25" ht="15.6" customHeight="1" x14ac:dyDescent="0.2">
      <c r="A44" s="213" t="s">
        <v>386</v>
      </c>
      <c r="B44" s="214"/>
      <c r="C44" s="265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5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4">
        <f t="shared" si="25"/>
        <v>0</v>
      </c>
      <c r="R44" s="78">
        <f t="shared" si="25"/>
        <v>0</v>
      </c>
      <c r="S44" s="264">
        <f t="shared" si="25"/>
        <v>0</v>
      </c>
      <c r="T44" s="286">
        <f t="shared" si="25"/>
        <v>0</v>
      </c>
      <c r="U44" s="78"/>
      <c r="V44" s="78"/>
      <c r="W44" s="778"/>
      <c r="X44" s="220"/>
      <c r="Y44" s="266"/>
    </row>
    <row r="45" spans="1:25" ht="15.6" customHeight="1" x14ac:dyDescent="0.2">
      <c r="A45" s="282" t="s">
        <v>387</v>
      </c>
      <c r="B45" s="281" t="s">
        <v>388</v>
      </c>
      <c r="C45" s="280"/>
      <c r="D45" s="285"/>
      <c r="E45" s="284"/>
      <c r="F45" s="279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7"/>
      <c r="R45" s="276">
        <f>SUM(F45:Q45)</f>
        <v>0</v>
      </c>
      <c r="S45" s="291"/>
      <c r="T45" s="699">
        <f>R45-E45</f>
        <v>0</v>
      </c>
      <c r="U45" s="267"/>
      <c r="V45" s="267"/>
      <c r="W45" s="779"/>
      <c r="X45" s="220"/>
      <c r="Y45" s="266"/>
    </row>
    <row r="46" spans="1:25" ht="15.6" customHeight="1" x14ac:dyDescent="0.2">
      <c r="A46" s="282" t="s">
        <v>389</v>
      </c>
      <c r="B46" s="281" t="s">
        <v>388</v>
      </c>
      <c r="C46" s="280"/>
      <c r="D46" s="285"/>
      <c r="E46" s="284"/>
      <c r="F46" s="279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7"/>
      <c r="R46" s="276">
        <f>SUM(F46:Q46)</f>
        <v>0</v>
      </c>
      <c r="S46" s="291"/>
      <c r="T46" s="699">
        <f>R46-E46</f>
        <v>0</v>
      </c>
      <c r="U46" s="267"/>
      <c r="V46" s="267"/>
      <c r="W46" s="779"/>
      <c r="X46" s="220"/>
      <c r="Y46" s="266"/>
    </row>
    <row r="47" spans="1:25" ht="15.6" customHeight="1" x14ac:dyDescent="0.2">
      <c r="A47" s="282" t="s">
        <v>307</v>
      </c>
      <c r="B47" s="281" t="s">
        <v>388</v>
      </c>
      <c r="C47" s="280"/>
      <c r="D47" s="285"/>
      <c r="E47" s="284"/>
      <c r="F47" s="279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7"/>
      <c r="R47" s="276">
        <f>SUM(F47:Q47)</f>
        <v>0</v>
      </c>
      <c r="S47" s="291"/>
      <c r="T47" s="699">
        <f>R47-E47</f>
        <v>0</v>
      </c>
      <c r="U47" s="267"/>
      <c r="V47" s="267"/>
      <c r="W47" s="779"/>
      <c r="X47" s="220"/>
      <c r="Y47" s="266"/>
    </row>
    <row r="48" spans="1:25" ht="15" customHeight="1" x14ac:dyDescent="0.2">
      <c r="A48" s="257"/>
      <c r="B48" s="256"/>
      <c r="C48" s="254"/>
      <c r="D48" s="221"/>
      <c r="E48" s="255"/>
      <c r="F48" s="254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53"/>
      <c r="R48" s="290"/>
      <c r="S48" s="289"/>
      <c r="T48" s="288"/>
      <c r="U48" s="220"/>
      <c r="V48" s="220"/>
      <c r="W48" s="781"/>
      <c r="X48" s="220"/>
      <c r="Y48" s="266"/>
    </row>
    <row r="49" spans="1:25" ht="15.6" customHeight="1" x14ac:dyDescent="0.2">
      <c r="A49" s="213" t="s">
        <v>390</v>
      </c>
      <c r="B49" s="214"/>
      <c r="C49" s="265"/>
      <c r="D49" s="78"/>
      <c r="E49" s="80"/>
      <c r="F49" s="265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4"/>
      <c r="R49" s="78"/>
      <c r="S49" s="264"/>
      <c r="T49" s="286"/>
      <c r="U49" s="78"/>
      <c r="V49" s="78"/>
      <c r="W49" s="778"/>
      <c r="X49" s="220"/>
      <c r="Y49" s="266"/>
    </row>
    <row r="50" spans="1:25" ht="15" customHeight="1" outlineLevel="1" x14ac:dyDescent="0.2">
      <c r="A50" s="282" t="s">
        <v>337</v>
      </c>
      <c r="B50" s="281" t="s">
        <v>391</v>
      </c>
      <c r="C50" s="667"/>
      <c r="D50" s="285"/>
      <c r="E50" s="284"/>
      <c r="F50" s="279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7"/>
      <c r="R50" s="276">
        <f>SUM(F50:Q50)</f>
        <v>0</v>
      </c>
      <c r="S50" s="275"/>
      <c r="T50" s="699">
        <f t="shared" ref="T50:T69" si="26">R50-E50</f>
        <v>0</v>
      </c>
      <c r="U50" s="283"/>
      <c r="V50" s="776"/>
      <c r="W50" s="779"/>
      <c r="X50" s="220"/>
      <c r="Y50" s="266" t="s">
        <v>392</v>
      </c>
    </row>
    <row r="51" spans="1:25" ht="15.6" customHeight="1" outlineLevel="1" x14ac:dyDescent="0.2">
      <c r="A51" s="282" t="s">
        <v>393</v>
      </c>
      <c r="B51" s="281" t="str">
        <f>+B50</f>
        <v>Area 1</v>
      </c>
      <c r="C51" s="667"/>
      <c r="D51" s="285"/>
      <c r="E51" s="284"/>
      <c r="F51" s="279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7"/>
      <c r="R51" s="276">
        <f>SUM(F51:Q51)</f>
        <v>0</v>
      </c>
      <c r="S51" s="275"/>
      <c r="T51" s="699">
        <f t="shared" si="26"/>
        <v>0</v>
      </c>
      <c r="U51" s="283"/>
      <c r="V51" s="776"/>
      <c r="W51" s="779"/>
      <c r="X51" s="220"/>
      <c r="Y51" s="266" t="s">
        <v>341</v>
      </c>
    </row>
    <row r="52" spans="1:25" ht="15.6" customHeight="1" outlineLevel="1" x14ac:dyDescent="0.2">
      <c r="A52" s="282" t="s">
        <v>340</v>
      </c>
      <c r="B52" s="281" t="str">
        <f>+B50</f>
        <v>Area 1</v>
      </c>
      <c r="C52" s="280"/>
      <c r="D52" s="285"/>
      <c r="E52" s="284"/>
      <c r="F52" s="279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7"/>
      <c r="R52" s="276">
        <f>SUM(F52:Q52)</f>
        <v>0</v>
      </c>
      <c r="S52" s="275"/>
      <c r="T52" s="699">
        <f t="shared" si="26"/>
        <v>0</v>
      </c>
      <c r="U52" s="267"/>
      <c r="V52" s="267"/>
      <c r="W52" s="779"/>
      <c r="X52" s="220"/>
      <c r="Y52" s="266"/>
    </row>
    <row r="53" spans="1:25" ht="15.6" customHeight="1" outlineLevel="1" x14ac:dyDescent="0.2">
      <c r="A53" s="274" t="s">
        <v>342</v>
      </c>
      <c r="B53" s="273" t="str">
        <f>+B50</f>
        <v>Area 1</v>
      </c>
      <c r="C53" s="271">
        <f t="shared" ref="C53" si="27">IFERROR(C50/C52,0)</f>
        <v>0</v>
      </c>
      <c r="D53" s="269">
        <f t="shared" ref="D53:R53" si="28">IFERROR(D50/D52,0)</f>
        <v>0</v>
      </c>
      <c r="E53" s="272">
        <f t="shared" si="28"/>
        <v>0</v>
      </c>
      <c r="F53" s="271">
        <f t="shared" si="28"/>
        <v>0</v>
      </c>
      <c r="G53" s="269">
        <f t="shared" si="28"/>
        <v>0</v>
      </c>
      <c r="H53" s="269">
        <f t="shared" si="28"/>
        <v>0</v>
      </c>
      <c r="I53" s="269">
        <f t="shared" si="28"/>
        <v>0</v>
      </c>
      <c r="J53" s="269">
        <f t="shared" si="28"/>
        <v>0</v>
      </c>
      <c r="K53" s="269">
        <f t="shared" si="28"/>
        <v>0</v>
      </c>
      <c r="L53" s="269">
        <f t="shared" si="28"/>
        <v>0</v>
      </c>
      <c r="M53" s="269">
        <f t="shared" si="28"/>
        <v>0</v>
      </c>
      <c r="N53" s="269">
        <f t="shared" si="28"/>
        <v>0</v>
      </c>
      <c r="O53" s="269">
        <f t="shared" si="28"/>
        <v>0</v>
      </c>
      <c r="P53" s="269">
        <f t="shared" si="28"/>
        <v>0</v>
      </c>
      <c r="Q53" s="270">
        <f t="shared" si="28"/>
        <v>0</v>
      </c>
      <c r="R53" s="269">
        <f t="shared" si="28"/>
        <v>0</v>
      </c>
      <c r="S53" s="269">
        <f t="shared" ref="S53" si="29">IFERROR(S50/S52,0)</f>
        <v>0</v>
      </c>
      <c r="T53" s="268">
        <f t="shared" si="26"/>
        <v>0</v>
      </c>
      <c r="U53" s="269"/>
      <c r="V53" s="269"/>
      <c r="W53" s="268"/>
      <c r="X53" s="220"/>
      <c r="Y53" s="266"/>
    </row>
    <row r="54" spans="1:25" ht="15.6" customHeight="1" outlineLevel="1" x14ac:dyDescent="0.2">
      <c r="A54" s="274" t="s">
        <v>394</v>
      </c>
      <c r="B54" s="273" t="str">
        <f>+B50</f>
        <v>Area 1</v>
      </c>
      <c r="C54" s="271">
        <f t="shared" ref="C54" si="30">IFERROR((C50+C51)/C52,0)</f>
        <v>0</v>
      </c>
      <c r="D54" s="269">
        <f t="shared" ref="D54:R54" si="31">IFERROR((D50+D51)/D52,0)</f>
        <v>0</v>
      </c>
      <c r="E54" s="272">
        <f t="shared" si="31"/>
        <v>0</v>
      </c>
      <c r="F54" s="271">
        <f t="shared" si="31"/>
        <v>0</v>
      </c>
      <c r="G54" s="269">
        <f t="shared" si="31"/>
        <v>0</v>
      </c>
      <c r="H54" s="269">
        <f t="shared" si="31"/>
        <v>0</v>
      </c>
      <c r="I54" s="269">
        <f t="shared" si="31"/>
        <v>0</v>
      </c>
      <c r="J54" s="269">
        <f t="shared" si="31"/>
        <v>0</v>
      </c>
      <c r="K54" s="269">
        <f t="shared" si="31"/>
        <v>0</v>
      </c>
      <c r="L54" s="269">
        <f t="shared" si="31"/>
        <v>0</v>
      </c>
      <c r="M54" s="269">
        <f t="shared" si="31"/>
        <v>0</v>
      </c>
      <c r="N54" s="269">
        <f t="shared" si="31"/>
        <v>0</v>
      </c>
      <c r="O54" s="269">
        <f t="shared" si="31"/>
        <v>0</v>
      </c>
      <c r="P54" s="269">
        <f t="shared" si="31"/>
        <v>0</v>
      </c>
      <c r="Q54" s="270">
        <f t="shared" si="31"/>
        <v>0</v>
      </c>
      <c r="R54" s="269">
        <f t="shared" si="31"/>
        <v>0</v>
      </c>
      <c r="S54" s="269">
        <f t="shared" ref="S54" si="32">IFERROR((S50+S51)/S52,0)</f>
        <v>0</v>
      </c>
      <c r="T54" s="268">
        <f t="shared" si="26"/>
        <v>0</v>
      </c>
      <c r="U54" s="269"/>
      <c r="V54" s="269"/>
      <c r="W54" s="268"/>
      <c r="X54" s="220"/>
      <c r="Y54" s="266"/>
    </row>
    <row r="55" spans="1:25" ht="15.6" customHeight="1" outlineLevel="1" x14ac:dyDescent="0.2">
      <c r="A55" s="282" t="s">
        <v>343</v>
      </c>
      <c r="B55" s="281" t="s">
        <v>395</v>
      </c>
      <c r="C55" s="667"/>
      <c r="D55" s="285"/>
      <c r="E55" s="284"/>
      <c r="F55" s="279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7"/>
      <c r="R55" s="276">
        <f>SUM(F55:Q55)</f>
        <v>0</v>
      </c>
      <c r="S55" s="275"/>
      <c r="T55" s="699">
        <f t="shared" si="26"/>
        <v>0</v>
      </c>
      <c r="U55" s="283"/>
      <c r="V55" s="776"/>
      <c r="W55" s="779"/>
      <c r="X55" s="220"/>
      <c r="Y55" s="266"/>
    </row>
    <row r="56" spans="1:25" ht="15.6" customHeight="1" outlineLevel="1" x14ac:dyDescent="0.2">
      <c r="A56" s="282" t="s">
        <v>396</v>
      </c>
      <c r="B56" s="281" t="str">
        <f>+B55</f>
        <v>Area 2</v>
      </c>
      <c r="C56" s="667"/>
      <c r="D56" s="285"/>
      <c r="E56" s="284"/>
      <c r="F56" s="279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7"/>
      <c r="R56" s="276">
        <f>SUM(F56:Q56)</f>
        <v>0</v>
      </c>
      <c r="S56" s="275"/>
      <c r="T56" s="699">
        <f t="shared" si="26"/>
        <v>0</v>
      </c>
      <c r="U56" s="283"/>
      <c r="V56" s="776"/>
      <c r="W56" s="779"/>
      <c r="X56" s="220"/>
      <c r="Y56" s="266"/>
    </row>
    <row r="57" spans="1:25" ht="15.6" customHeight="1" outlineLevel="1" x14ac:dyDescent="0.2">
      <c r="A57" s="282" t="s">
        <v>345</v>
      </c>
      <c r="B57" s="281" t="str">
        <f>+B55</f>
        <v>Area 2</v>
      </c>
      <c r="C57" s="280"/>
      <c r="D57" s="285"/>
      <c r="E57" s="284"/>
      <c r="F57" s="279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7"/>
      <c r="R57" s="276">
        <f>SUM(F57:Q57)</f>
        <v>0</v>
      </c>
      <c r="S57" s="275"/>
      <c r="T57" s="699">
        <f t="shared" si="26"/>
        <v>0</v>
      </c>
      <c r="U57" s="267"/>
      <c r="V57" s="267"/>
      <c r="W57" s="779"/>
      <c r="X57" s="220"/>
      <c r="Y57" s="266"/>
    </row>
    <row r="58" spans="1:25" ht="15.6" customHeight="1" outlineLevel="1" x14ac:dyDescent="0.2">
      <c r="A58" s="274" t="s">
        <v>397</v>
      </c>
      <c r="B58" s="273" t="str">
        <f>+B55</f>
        <v>Area 2</v>
      </c>
      <c r="C58" s="271">
        <f t="shared" ref="C58" si="33">IFERROR(C55/C57,0)</f>
        <v>0</v>
      </c>
      <c r="D58" s="269">
        <f t="shared" ref="D58:S58" si="34">IFERROR(D55/D57,0)</f>
        <v>0</v>
      </c>
      <c r="E58" s="272">
        <f t="shared" si="34"/>
        <v>0</v>
      </c>
      <c r="F58" s="271">
        <f t="shared" si="34"/>
        <v>0</v>
      </c>
      <c r="G58" s="269">
        <f t="shared" si="34"/>
        <v>0</v>
      </c>
      <c r="H58" s="269">
        <f t="shared" si="34"/>
        <v>0</v>
      </c>
      <c r="I58" s="269">
        <f t="shared" si="34"/>
        <v>0</v>
      </c>
      <c r="J58" s="269">
        <f t="shared" si="34"/>
        <v>0</v>
      </c>
      <c r="K58" s="269">
        <f t="shared" si="34"/>
        <v>0</v>
      </c>
      <c r="L58" s="269">
        <f t="shared" si="34"/>
        <v>0</v>
      </c>
      <c r="M58" s="269">
        <f t="shared" si="34"/>
        <v>0</v>
      </c>
      <c r="N58" s="269">
        <f t="shared" si="34"/>
        <v>0</v>
      </c>
      <c r="O58" s="269">
        <f t="shared" si="34"/>
        <v>0</v>
      </c>
      <c r="P58" s="269">
        <f t="shared" si="34"/>
        <v>0</v>
      </c>
      <c r="Q58" s="270">
        <f t="shared" si="34"/>
        <v>0</v>
      </c>
      <c r="R58" s="269">
        <f t="shared" si="34"/>
        <v>0</v>
      </c>
      <c r="S58" s="269">
        <f t="shared" si="34"/>
        <v>0</v>
      </c>
      <c r="T58" s="268">
        <f t="shared" si="26"/>
        <v>0</v>
      </c>
      <c r="U58" s="269"/>
      <c r="V58" s="269"/>
      <c r="W58" s="268"/>
      <c r="X58" s="220"/>
      <c r="Y58" s="266"/>
    </row>
    <row r="59" spans="1:25" ht="15.6" customHeight="1" outlineLevel="1" x14ac:dyDescent="0.2">
      <c r="A59" s="274" t="s">
        <v>398</v>
      </c>
      <c r="B59" s="273" t="str">
        <f>+B55</f>
        <v>Area 2</v>
      </c>
      <c r="C59" s="271">
        <f t="shared" ref="C59" si="35">IFERROR((C55+C56)/C57,0)</f>
        <v>0</v>
      </c>
      <c r="D59" s="269">
        <f t="shared" ref="D59:S59" si="36">IFERROR((D55+D56)/D57,0)</f>
        <v>0</v>
      </c>
      <c r="E59" s="272">
        <f t="shared" si="36"/>
        <v>0</v>
      </c>
      <c r="F59" s="271">
        <f t="shared" si="36"/>
        <v>0</v>
      </c>
      <c r="G59" s="269">
        <f t="shared" si="36"/>
        <v>0</v>
      </c>
      <c r="H59" s="269">
        <f t="shared" si="36"/>
        <v>0</v>
      </c>
      <c r="I59" s="269">
        <f t="shared" si="36"/>
        <v>0</v>
      </c>
      <c r="J59" s="269">
        <f t="shared" si="36"/>
        <v>0</v>
      </c>
      <c r="K59" s="269">
        <f t="shared" si="36"/>
        <v>0</v>
      </c>
      <c r="L59" s="269">
        <f t="shared" si="36"/>
        <v>0</v>
      </c>
      <c r="M59" s="269">
        <f t="shared" si="36"/>
        <v>0</v>
      </c>
      <c r="N59" s="269">
        <f t="shared" si="36"/>
        <v>0</v>
      </c>
      <c r="O59" s="269">
        <f t="shared" si="36"/>
        <v>0</v>
      </c>
      <c r="P59" s="269">
        <f t="shared" si="36"/>
        <v>0</v>
      </c>
      <c r="Q59" s="270">
        <f t="shared" si="36"/>
        <v>0</v>
      </c>
      <c r="R59" s="269">
        <f t="shared" si="36"/>
        <v>0</v>
      </c>
      <c r="S59" s="269">
        <f t="shared" si="36"/>
        <v>0</v>
      </c>
      <c r="T59" s="268">
        <f t="shared" si="26"/>
        <v>0</v>
      </c>
      <c r="U59" s="269"/>
      <c r="V59" s="269"/>
      <c r="W59" s="268"/>
      <c r="X59" s="220"/>
      <c r="Y59" s="266"/>
    </row>
    <row r="60" spans="1:25" ht="15.6" customHeight="1" outlineLevel="1" x14ac:dyDescent="0.2">
      <c r="A60" s="282" t="s">
        <v>347</v>
      </c>
      <c r="B60" s="281" t="s">
        <v>348</v>
      </c>
      <c r="C60" s="667"/>
      <c r="D60" s="285"/>
      <c r="E60" s="284"/>
      <c r="F60" s="279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7"/>
      <c r="R60" s="276">
        <f>SUM(F60:Q60)</f>
        <v>0</v>
      </c>
      <c r="S60" s="275"/>
      <c r="T60" s="699">
        <f t="shared" si="26"/>
        <v>0</v>
      </c>
      <c r="U60" s="283"/>
      <c r="V60" s="776"/>
      <c r="W60" s="779"/>
      <c r="X60" s="220"/>
      <c r="Y60" s="266"/>
    </row>
    <row r="61" spans="1:25" ht="15.6" customHeight="1" outlineLevel="1" x14ac:dyDescent="0.2">
      <c r="A61" s="282" t="s">
        <v>399</v>
      </c>
      <c r="B61" s="281" t="str">
        <f>+B60</f>
        <v>Area 3</v>
      </c>
      <c r="C61" s="667"/>
      <c r="D61" s="285"/>
      <c r="E61" s="284"/>
      <c r="F61" s="279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7"/>
      <c r="R61" s="276">
        <f>SUM(F61:Q61)</f>
        <v>0</v>
      </c>
      <c r="S61" s="275"/>
      <c r="T61" s="699">
        <f t="shared" si="26"/>
        <v>0</v>
      </c>
      <c r="U61" s="283"/>
      <c r="V61" s="776"/>
      <c r="W61" s="779"/>
      <c r="X61" s="220"/>
      <c r="Y61" s="266"/>
    </row>
    <row r="62" spans="1:25" ht="15.6" customHeight="1" outlineLevel="1" x14ac:dyDescent="0.2">
      <c r="A62" s="282" t="s">
        <v>349</v>
      </c>
      <c r="B62" s="281" t="str">
        <f>+B60</f>
        <v>Area 3</v>
      </c>
      <c r="C62" s="280"/>
      <c r="D62" s="285"/>
      <c r="E62" s="284"/>
      <c r="F62" s="279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7"/>
      <c r="R62" s="276">
        <f>SUM(F62:Q62)</f>
        <v>0</v>
      </c>
      <c r="S62" s="275"/>
      <c r="T62" s="699">
        <f t="shared" si="26"/>
        <v>0</v>
      </c>
      <c r="U62" s="267"/>
      <c r="V62" s="267"/>
      <c r="W62" s="779"/>
      <c r="X62" s="220"/>
      <c r="Y62" s="266"/>
    </row>
    <row r="63" spans="1:25" ht="15.6" customHeight="1" outlineLevel="1" x14ac:dyDescent="0.2">
      <c r="A63" s="274" t="s">
        <v>400</v>
      </c>
      <c r="B63" s="273" t="str">
        <f>+B60</f>
        <v>Area 3</v>
      </c>
      <c r="C63" s="271">
        <f t="shared" ref="C63" si="37">IFERROR(C60/C62,0)</f>
        <v>0</v>
      </c>
      <c r="D63" s="269">
        <f t="shared" ref="D63:S63" si="38">IFERROR(D60/D62,0)</f>
        <v>0</v>
      </c>
      <c r="E63" s="272">
        <f t="shared" si="38"/>
        <v>0</v>
      </c>
      <c r="F63" s="271">
        <f t="shared" si="38"/>
        <v>0</v>
      </c>
      <c r="G63" s="269">
        <f t="shared" si="38"/>
        <v>0</v>
      </c>
      <c r="H63" s="269">
        <f t="shared" si="38"/>
        <v>0</v>
      </c>
      <c r="I63" s="269">
        <f t="shared" si="38"/>
        <v>0</v>
      </c>
      <c r="J63" s="269">
        <f t="shared" si="38"/>
        <v>0</v>
      </c>
      <c r="K63" s="269">
        <f t="shared" si="38"/>
        <v>0</v>
      </c>
      <c r="L63" s="269">
        <f t="shared" si="38"/>
        <v>0</v>
      </c>
      <c r="M63" s="269">
        <f t="shared" si="38"/>
        <v>0</v>
      </c>
      <c r="N63" s="269">
        <f t="shared" si="38"/>
        <v>0</v>
      </c>
      <c r="O63" s="269">
        <f t="shared" si="38"/>
        <v>0</v>
      </c>
      <c r="P63" s="269">
        <f t="shared" si="38"/>
        <v>0</v>
      </c>
      <c r="Q63" s="270">
        <f t="shared" si="38"/>
        <v>0</v>
      </c>
      <c r="R63" s="269">
        <f t="shared" si="38"/>
        <v>0</v>
      </c>
      <c r="S63" s="269">
        <f t="shared" si="38"/>
        <v>0</v>
      </c>
      <c r="T63" s="268">
        <f t="shared" si="26"/>
        <v>0</v>
      </c>
      <c r="U63" s="269"/>
      <c r="V63" s="269"/>
      <c r="W63" s="268"/>
      <c r="X63" s="220"/>
      <c r="Y63" s="266"/>
    </row>
    <row r="64" spans="1:25" ht="15.6" customHeight="1" outlineLevel="1" x14ac:dyDescent="0.2">
      <c r="A64" s="274" t="s">
        <v>401</v>
      </c>
      <c r="B64" s="273" t="str">
        <f>+B60</f>
        <v>Area 3</v>
      </c>
      <c r="C64" s="271">
        <f t="shared" ref="C64" si="39">IFERROR((C60+C61)/C62,0)</f>
        <v>0</v>
      </c>
      <c r="D64" s="269">
        <f t="shared" ref="D64:S64" si="40">IFERROR((D60+D61)/D62,0)</f>
        <v>0</v>
      </c>
      <c r="E64" s="272">
        <f t="shared" si="40"/>
        <v>0</v>
      </c>
      <c r="F64" s="271">
        <f t="shared" si="40"/>
        <v>0</v>
      </c>
      <c r="G64" s="269">
        <f t="shared" si="40"/>
        <v>0</v>
      </c>
      <c r="H64" s="269">
        <f t="shared" si="40"/>
        <v>0</v>
      </c>
      <c r="I64" s="269">
        <f t="shared" si="40"/>
        <v>0</v>
      </c>
      <c r="J64" s="269">
        <f t="shared" si="40"/>
        <v>0</v>
      </c>
      <c r="K64" s="269">
        <f t="shared" si="40"/>
        <v>0</v>
      </c>
      <c r="L64" s="269">
        <f t="shared" si="40"/>
        <v>0</v>
      </c>
      <c r="M64" s="269">
        <f t="shared" si="40"/>
        <v>0</v>
      </c>
      <c r="N64" s="269">
        <f t="shared" si="40"/>
        <v>0</v>
      </c>
      <c r="O64" s="269">
        <f t="shared" si="40"/>
        <v>0</v>
      </c>
      <c r="P64" s="269">
        <f t="shared" si="40"/>
        <v>0</v>
      </c>
      <c r="Q64" s="270">
        <f t="shared" si="40"/>
        <v>0</v>
      </c>
      <c r="R64" s="269">
        <f t="shared" si="40"/>
        <v>0</v>
      </c>
      <c r="S64" s="269">
        <f t="shared" si="40"/>
        <v>0</v>
      </c>
      <c r="T64" s="268">
        <f t="shared" si="26"/>
        <v>0</v>
      </c>
      <c r="U64" s="269"/>
      <c r="V64" s="269"/>
      <c r="W64" s="268"/>
      <c r="X64" s="220"/>
      <c r="Y64" s="266"/>
    </row>
    <row r="65" spans="1:25" ht="15.6" customHeight="1" outlineLevel="1" x14ac:dyDescent="0.2">
      <c r="A65" s="282" t="s">
        <v>351</v>
      </c>
      <c r="B65" s="281" t="s">
        <v>380</v>
      </c>
      <c r="C65" s="667"/>
      <c r="D65" s="285"/>
      <c r="E65" s="284"/>
      <c r="F65" s="279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7"/>
      <c r="R65" s="276">
        <f>SUM(F65:Q65)</f>
        <v>0</v>
      </c>
      <c r="S65" s="275"/>
      <c r="T65" s="699">
        <f t="shared" si="26"/>
        <v>0</v>
      </c>
      <c r="U65" s="283"/>
      <c r="V65" s="776"/>
      <c r="W65" s="779"/>
      <c r="X65" s="220"/>
      <c r="Y65" s="266"/>
    </row>
    <row r="66" spans="1:25" ht="15.6" customHeight="1" outlineLevel="1" x14ac:dyDescent="0.2">
      <c r="A66" s="282" t="s">
        <v>402</v>
      </c>
      <c r="B66" s="281" t="s">
        <v>380</v>
      </c>
      <c r="C66" s="324">
        <f>C81-SUM(C61,C56,C51)</f>
        <v>-5747.29</v>
      </c>
      <c r="D66" s="285"/>
      <c r="E66" s="323">
        <f>E81-SUM(E61,E56,E51)</f>
        <v>-34122.71</v>
      </c>
      <c r="F66" s="668">
        <f t="shared" ref="F66:Q66" si="41">F81-SUM(F61,F56,F51)</f>
        <v>0</v>
      </c>
      <c r="G66" s="669">
        <f t="shared" si="41"/>
        <v>0</v>
      </c>
      <c r="H66" s="669">
        <f t="shared" si="41"/>
        <v>0</v>
      </c>
      <c r="I66" s="669">
        <f t="shared" si="41"/>
        <v>0</v>
      </c>
      <c r="J66" s="669">
        <f t="shared" si="41"/>
        <v>0</v>
      </c>
      <c r="K66" s="669">
        <f t="shared" si="41"/>
        <v>0</v>
      </c>
      <c r="L66" s="669">
        <f t="shared" si="41"/>
        <v>0</v>
      </c>
      <c r="M66" s="669">
        <f t="shared" si="41"/>
        <v>0</v>
      </c>
      <c r="N66" s="669">
        <f t="shared" si="41"/>
        <v>0</v>
      </c>
      <c r="O66" s="669">
        <f t="shared" si="41"/>
        <v>0</v>
      </c>
      <c r="P66" s="669">
        <f t="shared" si="41"/>
        <v>0</v>
      </c>
      <c r="Q66" s="670">
        <f t="shared" si="41"/>
        <v>0</v>
      </c>
      <c r="R66" s="276">
        <f>SUM(F66:Q66)</f>
        <v>0</v>
      </c>
      <c r="S66" s="275"/>
      <c r="T66" s="699">
        <f>R66-E66</f>
        <v>34122.71</v>
      </c>
      <c r="U66" s="283"/>
      <c r="V66" s="776"/>
      <c r="W66" s="779"/>
      <c r="X66" s="220"/>
      <c r="Y66" s="266"/>
    </row>
    <row r="67" spans="1:25" ht="15.6" customHeight="1" outlineLevel="1" x14ac:dyDescent="0.2">
      <c r="A67" s="282" t="s">
        <v>353</v>
      </c>
      <c r="B67" s="281" t="s">
        <v>380</v>
      </c>
      <c r="C67" s="280"/>
      <c r="D67" s="285"/>
      <c r="E67" s="284"/>
      <c r="F67" s="279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7"/>
      <c r="R67" s="276">
        <f>SUM(F67:Q67)</f>
        <v>0</v>
      </c>
      <c r="S67" s="275"/>
      <c r="T67" s="699">
        <f t="shared" si="26"/>
        <v>0</v>
      </c>
      <c r="U67" s="267"/>
      <c r="V67" s="267"/>
      <c r="W67" s="779"/>
      <c r="X67" s="220"/>
      <c r="Y67" s="266"/>
    </row>
    <row r="68" spans="1:25" ht="15.6" customHeight="1" outlineLevel="1" x14ac:dyDescent="0.2">
      <c r="A68" s="274" t="s">
        <v>403</v>
      </c>
      <c r="B68" s="273" t="s">
        <v>380</v>
      </c>
      <c r="C68" s="271">
        <f t="shared" ref="C68" si="42">IFERROR(C65/C67,0)</f>
        <v>0</v>
      </c>
      <c r="D68" s="269">
        <f t="shared" ref="D68:S68" si="43">IFERROR(D65/D67,0)</f>
        <v>0</v>
      </c>
      <c r="E68" s="272">
        <f t="shared" si="43"/>
        <v>0</v>
      </c>
      <c r="F68" s="271">
        <f t="shared" si="43"/>
        <v>0</v>
      </c>
      <c r="G68" s="269">
        <f t="shared" si="43"/>
        <v>0</v>
      </c>
      <c r="H68" s="269">
        <f t="shared" si="43"/>
        <v>0</v>
      </c>
      <c r="I68" s="269">
        <f t="shared" si="43"/>
        <v>0</v>
      </c>
      <c r="J68" s="269">
        <f t="shared" si="43"/>
        <v>0</v>
      </c>
      <c r="K68" s="269">
        <f t="shared" si="43"/>
        <v>0</v>
      </c>
      <c r="L68" s="269">
        <f t="shared" si="43"/>
        <v>0</v>
      </c>
      <c r="M68" s="269">
        <f t="shared" si="43"/>
        <v>0</v>
      </c>
      <c r="N68" s="269">
        <f t="shared" si="43"/>
        <v>0</v>
      </c>
      <c r="O68" s="269">
        <f t="shared" si="43"/>
        <v>0</v>
      </c>
      <c r="P68" s="269">
        <f t="shared" si="43"/>
        <v>0</v>
      </c>
      <c r="Q68" s="270">
        <f t="shared" si="43"/>
        <v>0</v>
      </c>
      <c r="R68" s="269">
        <f t="shared" si="43"/>
        <v>0</v>
      </c>
      <c r="S68" s="269">
        <f t="shared" si="43"/>
        <v>0</v>
      </c>
      <c r="T68" s="268">
        <f t="shared" si="26"/>
        <v>0</v>
      </c>
      <c r="U68" s="269"/>
      <c r="V68" s="269"/>
      <c r="W68" s="268"/>
      <c r="X68" s="220"/>
      <c r="Y68" s="266"/>
    </row>
    <row r="69" spans="1:25" ht="15.6" customHeight="1" outlineLevel="1" x14ac:dyDescent="0.2">
      <c r="A69" s="274" t="s">
        <v>404</v>
      </c>
      <c r="B69" s="273" t="s">
        <v>380</v>
      </c>
      <c r="C69" s="271">
        <f t="shared" ref="C69" si="44">IFERROR((C65+C66)/C67,0)</f>
        <v>0</v>
      </c>
      <c r="D69" s="269">
        <f t="shared" ref="D69:S69" si="45">IFERROR((D65+D66)/D67,0)</f>
        <v>0</v>
      </c>
      <c r="E69" s="272">
        <f t="shared" si="45"/>
        <v>0</v>
      </c>
      <c r="F69" s="271">
        <f t="shared" si="45"/>
        <v>0</v>
      </c>
      <c r="G69" s="269">
        <f t="shared" si="45"/>
        <v>0</v>
      </c>
      <c r="H69" s="269">
        <f t="shared" si="45"/>
        <v>0</v>
      </c>
      <c r="I69" s="269">
        <f t="shared" si="45"/>
        <v>0</v>
      </c>
      <c r="J69" s="269">
        <f t="shared" si="45"/>
        <v>0</v>
      </c>
      <c r="K69" s="269">
        <f t="shared" si="45"/>
        <v>0</v>
      </c>
      <c r="L69" s="269">
        <f t="shared" si="45"/>
        <v>0</v>
      </c>
      <c r="M69" s="269">
        <f t="shared" si="45"/>
        <v>0</v>
      </c>
      <c r="N69" s="269">
        <f t="shared" si="45"/>
        <v>0</v>
      </c>
      <c r="O69" s="269">
        <f t="shared" si="45"/>
        <v>0</v>
      </c>
      <c r="P69" s="269">
        <f t="shared" si="45"/>
        <v>0</v>
      </c>
      <c r="Q69" s="270">
        <f t="shared" si="45"/>
        <v>0</v>
      </c>
      <c r="R69" s="269">
        <f t="shared" si="45"/>
        <v>0</v>
      </c>
      <c r="S69" s="269">
        <f t="shared" si="45"/>
        <v>0</v>
      </c>
      <c r="T69" s="268">
        <f t="shared" si="26"/>
        <v>0</v>
      </c>
      <c r="U69" s="269"/>
      <c r="V69" s="269"/>
      <c r="W69" s="268"/>
      <c r="X69" s="220"/>
      <c r="Y69" s="266"/>
    </row>
    <row r="70" spans="1:25" ht="15.6" customHeight="1" x14ac:dyDescent="0.25">
      <c r="A70" s="213" t="s">
        <v>405</v>
      </c>
      <c r="B70" s="214"/>
      <c r="C70" s="265">
        <f t="shared" ref="C70:C71" si="46">+C51+C56+C61+C66</f>
        <v>-5747.29</v>
      </c>
      <c r="D70" s="78">
        <f t="shared" ref="D70:S70" si="47">+D51+D56+D61+D66</f>
        <v>0</v>
      </c>
      <c r="E70" s="80">
        <f t="shared" si="47"/>
        <v>-34122.71</v>
      </c>
      <c r="F70" s="265">
        <f t="shared" si="47"/>
        <v>0</v>
      </c>
      <c r="G70" s="78">
        <f t="shared" si="47"/>
        <v>0</v>
      </c>
      <c r="H70" s="78">
        <f t="shared" si="47"/>
        <v>0</v>
      </c>
      <c r="I70" s="78">
        <f t="shared" si="47"/>
        <v>0</v>
      </c>
      <c r="J70" s="78">
        <f t="shared" si="47"/>
        <v>0</v>
      </c>
      <c r="K70" s="78">
        <f t="shared" si="47"/>
        <v>0</v>
      </c>
      <c r="L70" s="78">
        <f t="shared" si="47"/>
        <v>0</v>
      </c>
      <c r="M70" s="78">
        <f t="shared" si="47"/>
        <v>0</v>
      </c>
      <c r="N70" s="78">
        <f t="shared" si="47"/>
        <v>0</v>
      </c>
      <c r="O70" s="78">
        <f t="shared" si="47"/>
        <v>0</v>
      </c>
      <c r="P70" s="78">
        <f t="shared" si="47"/>
        <v>0</v>
      </c>
      <c r="Q70" s="264">
        <f t="shared" si="47"/>
        <v>0</v>
      </c>
      <c r="R70" s="78">
        <f t="shared" si="47"/>
        <v>0</v>
      </c>
      <c r="S70" s="264">
        <f t="shared" si="47"/>
        <v>0</v>
      </c>
      <c r="T70" s="286">
        <f>+T51+T56+T61+T66</f>
        <v>34122.71</v>
      </c>
      <c r="U70" s="258"/>
      <c r="V70" s="258"/>
      <c r="W70" s="778"/>
      <c r="X70" s="249"/>
      <c r="Y70" s="219"/>
    </row>
    <row r="71" spans="1:25" ht="15.6" customHeight="1" x14ac:dyDescent="0.25">
      <c r="A71" s="213" t="s">
        <v>384</v>
      </c>
      <c r="B71" s="214"/>
      <c r="C71" s="265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5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4">
        <f t="shared" si="48"/>
        <v>0</v>
      </c>
      <c r="R71" s="78">
        <f t="shared" si="48"/>
        <v>0</v>
      </c>
      <c r="S71" s="264">
        <f t="shared" si="48"/>
        <v>0</v>
      </c>
      <c r="T71" s="286">
        <f>+T52+T57+T62+T67</f>
        <v>0</v>
      </c>
      <c r="U71" s="258"/>
      <c r="V71" s="258"/>
      <c r="W71" s="778"/>
      <c r="X71" s="249"/>
      <c r="Y71" s="219"/>
    </row>
    <row r="72" spans="1:25" ht="15" customHeight="1" x14ac:dyDescent="0.25">
      <c r="A72" s="213" t="s">
        <v>406</v>
      </c>
      <c r="B72" s="214"/>
      <c r="C72" s="262">
        <f t="shared" ref="C72" si="49">+IFERROR(C70/C71,0)</f>
        <v>0</v>
      </c>
      <c r="D72" s="261">
        <f t="shared" ref="D72:S72" si="50">+IFERROR(D70/D71,0)</f>
        <v>0</v>
      </c>
      <c r="E72" s="263">
        <f t="shared" si="50"/>
        <v>0</v>
      </c>
      <c r="F72" s="262">
        <f t="shared" si="50"/>
        <v>0</v>
      </c>
      <c r="G72" s="261">
        <f t="shared" si="50"/>
        <v>0</v>
      </c>
      <c r="H72" s="261">
        <f t="shared" si="50"/>
        <v>0</v>
      </c>
      <c r="I72" s="261">
        <f t="shared" si="50"/>
        <v>0</v>
      </c>
      <c r="J72" s="261">
        <f t="shared" si="50"/>
        <v>0</v>
      </c>
      <c r="K72" s="261">
        <f t="shared" si="50"/>
        <v>0</v>
      </c>
      <c r="L72" s="261">
        <f t="shared" si="50"/>
        <v>0</v>
      </c>
      <c r="M72" s="261">
        <f t="shared" si="50"/>
        <v>0</v>
      </c>
      <c r="N72" s="261">
        <f t="shared" si="50"/>
        <v>0</v>
      </c>
      <c r="O72" s="261">
        <f t="shared" si="50"/>
        <v>0</v>
      </c>
      <c r="P72" s="261">
        <f t="shared" si="50"/>
        <v>0</v>
      </c>
      <c r="Q72" s="260">
        <f t="shared" si="50"/>
        <v>0</v>
      </c>
      <c r="R72" s="261">
        <f t="shared" si="50"/>
        <v>0</v>
      </c>
      <c r="S72" s="260">
        <f t="shared" si="50"/>
        <v>0</v>
      </c>
      <c r="T72" s="259">
        <f>+-E72</f>
        <v>0</v>
      </c>
      <c r="U72" s="258"/>
      <c r="V72" s="258"/>
      <c r="W72" s="778"/>
      <c r="X72" s="249"/>
      <c r="Y72" s="219"/>
    </row>
    <row r="73" spans="1:25" ht="15" customHeight="1" x14ac:dyDescent="0.25">
      <c r="A73" s="257"/>
      <c r="B73" s="256"/>
      <c r="C73" s="254"/>
      <c r="D73" s="221"/>
      <c r="E73" s="255"/>
      <c r="F73" s="254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53"/>
      <c r="R73" s="221"/>
      <c r="S73" s="252"/>
      <c r="T73" s="251"/>
      <c r="U73" s="221"/>
      <c r="V73" s="221"/>
      <c r="W73" s="782"/>
      <c r="X73" s="249"/>
      <c r="Y73" s="219"/>
    </row>
    <row r="74" spans="1:25" s="2" customFormat="1" ht="15" customHeight="1" x14ac:dyDescent="0.25">
      <c r="A74" s="248"/>
      <c r="B74" s="163"/>
      <c r="C74" s="246"/>
      <c r="D74" s="243"/>
      <c r="E74" s="247"/>
      <c r="F74" s="246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5"/>
      <c r="R74" s="243"/>
      <c r="S74" s="245"/>
      <c r="T74" s="244"/>
      <c r="U74" s="243"/>
      <c r="V74" s="243"/>
      <c r="W74" s="783"/>
      <c r="X74" s="242"/>
      <c r="Y74" s="241"/>
    </row>
    <row r="75" spans="1:25" s="62" customFormat="1" ht="15" customHeight="1" x14ac:dyDescent="0.25">
      <c r="A75" s="240" t="s">
        <v>383</v>
      </c>
      <c r="B75" s="232"/>
      <c r="C75" s="237">
        <f t="shared" ref="C75:Q75" si="51">C7+C10+C13+C16+C19+C22+C50+C55+C60+C65+C45+C46+C47+C25+C28+C31+C34+C37</f>
        <v>-34169.339999999997</v>
      </c>
      <c r="D75" s="236">
        <f t="shared" si="51"/>
        <v>0</v>
      </c>
      <c r="E75" s="238">
        <f t="shared" si="51"/>
        <v>-187369.769</v>
      </c>
      <c r="F75" s="237">
        <f t="shared" si="51"/>
        <v>-6865.7489999999998</v>
      </c>
      <c r="G75" s="236">
        <f t="shared" si="51"/>
        <v>-6865.8019999999997</v>
      </c>
      <c r="H75" s="236">
        <f t="shared" si="51"/>
        <v>-6681.54</v>
      </c>
      <c r="I75" s="236">
        <f t="shared" si="51"/>
        <v>-6865.8019999999997</v>
      </c>
      <c r="J75" s="236">
        <f t="shared" si="51"/>
        <v>-7050.2370000000001</v>
      </c>
      <c r="K75" s="236">
        <f t="shared" si="51"/>
        <v>-6549.8789999999999</v>
      </c>
      <c r="L75" s="236">
        <f t="shared" si="51"/>
        <v>-7111.3450000000003</v>
      </c>
      <c r="M75" s="236">
        <f t="shared" si="51"/>
        <v>-6923.8190000000004</v>
      </c>
      <c r="N75" s="236">
        <f t="shared" si="51"/>
        <v>-6175.2269999999999</v>
      </c>
      <c r="O75" s="236">
        <f t="shared" si="51"/>
        <v>-7110.9809999999998</v>
      </c>
      <c r="P75" s="236">
        <f t="shared" si="51"/>
        <v>-6923.6959999999999</v>
      </c>
      <c r="Q75" s="235">
        <f t="shared" si="51"/>
        <v>-5988.0079999999998</v>
      </c>
      <c r="R75" s="236">
        <f>R7+R10+R13+R16+R19+R22+R50+R55+R60+R65+R45+R46+R47+R25+R28+R31+R34+R37</f>
        <v>-81112.084999999977</v>
      </c>
      <c r="S75" s="235">
        <f>S7+S10+S13+S16+S19+S22+S50+S55+S60+S65+S45+S46+S47</f>
        <v>0</v>
      </c>
      <c r="T75" s="234">
        <f>T7+T10+T13+T16+T19+T22+T50+T55+T60+T65+T45+T46+T47+T25+T28+T31+T34+T37</f>
        <v>106257.68400000002</v>
      </c>
      <c r="U75" s="227"/>
      <c r="V75" s="236"/>
      <c r="W75" s="784"/>
      <c r="X75" s="225"/>
      <c r="Y75" s="224"/>
    </row>
    <row r="76" spans="1:25" s="62" customFormat="1" ht="15" customHeight="1" x14ac:dyDescent="0.25">
      <c r="A76" s="233" t="s">
        <v>384</v>
      </c>
      <c r="B76" s="232"/>
      <c r="C76" s="237">
        <f>C8+C11+C14+C17+C20+C23+C52+C57+C62+C67+C26+C29+C32+C35+C38</f>
        <v>10156179.187999999</v>
      </c>
      <c r="D76" s="236">
        <f t="shared" ref="D76:R76" si="52">D8+D11+D14+D17+D20+D23+D52+D57+D62+D67+D26+D29+D32+D35+D38</f>
        <v>0</v>
      </c>
      <c r="E76" s="238">
        <f t="shared" si="52"/>
        <v>21211769.708999999</v>
      </c>
      <c r="F76" s="237">
        <f t="shared" si="52"/>
        <v>1739629.5279999999</v>
      </c>
      <c r="G76" s="236">
        <f t="shared" si="52"/>
        <v>1739642.172</v>
      </c>
      <c r="H76" s="236">
        <f t="shared" si="52"/>
        <v>1695770.175</v>
      </c>
      <c r="I76" s="236">
        <f t="shared" si="52"/>
        <v>1739642.172</v>
      </c>
      <c r="J76" s="236">
        <f t="shared" si="52"/>
        <v>1783555.132</v>
      </c>
      <c r="K76" s="236">
        <f t="shared" si="52"/>
        <v>1664422.378</v>
      </c>
      <c r="L76" s="236">
        <f t="shared" si="52"/>
        <v>1798104.8529999999</v>
      </c>
      <c r="M76" s="236">
        <f t="shared" si="52"/>
        <v>1753455.7420000001</v>
      </c>
      <c r="N76" s="236">
        <f t="shared" si="52"/>
        <v>1575219.5379999999</v>
      </c>
      <c r="O76" s="236">
        <f t="shared" si="52"/>
        <v>1798018.027</v>
      </c>
      <c r="P76" s="236">
        <f t="shared" si="52"/>
        <v>1753426.3359999999</v>
      </c>
      <c r="Q76" s="235">
        <f t="shared" si="52"/>
        <v>1530643.757</v>
      </c>
      <c r="R76" s="236">
        <f t="shared" si="52"/>
        <v>20571529.809999999</v>
      </c>
      <c r="S76" s="235">
        <f>S8+S11+S14+S17+S20+S23+S52+S57+S62+S67</f>
        <v>0</v>
      </c>
      <c r="T76" s="234">
        <f>T8+T11+T14+T17+T20+T23+T52+T57+T62+T67+T26+T29+T32+T35+T38</f>
        <v>-640239.89899999998</v>
      </c>
      <c r="U76" s="227"/>
      <c r="V76" s="227"/>
      <c r="W76" s="785"/>
      <c r="X76" s="225"/>
      <c r="Y76" s="224"/>
    </row>
    <row r="77" spans="1:25" s="62" customFormat="1" ht="15" customHeight="1" x14ac:dyDescent="0.25">
      <c r="A77" s="233" t="s">
        <v>385</v>
      </c>
      <c r="B77" s="232"/>
      <c r="C77" s="230">
        <f t="shared" ref="C77:D77" si="53">IFERROR(C75/C76,0)</f>
        <v>-3.3643892420067451E-3</v>
      </c>
      <c r="D77" s="227">
        <f t="shared" si="53"/>
        <v>0</v>
      </c>
      <c r="E77" s="231">
        <f t="shared" ref="E77:T77" si="54">IFERROR(E75/E76,0)</f>
        <v>-8.8332926281252423E-3</v>
      </c>
      <c r="F77" s="230">
        <f t="shared" si="54"/>
        <v>-3.9466730642893529E-3</v>
      </c>
      <c r="G77" s="227">
        <f t="shared" si="54"/>
        <v>-3.9466748452681218E-3</v>
      </c>
      <c r="H77" s="227">
        <f t="shared" si="54"/>
        <v>-3.9401211900663364E-3</v>
      </c>
      <c r="I77" s="227">
        <f t="shared" si="54"/>
        <v>-3.9466748452681218E-3</v>
      </c>
      <c r="J77" s="227">
        <f t="shared" si="54"/>
        <v>-3.952912289340995E-3</v>
      </c>
      <c r="K77" s="227">
        <f t="shared" si="54"/>
        <v>-3.9352264705011077E-3</v>
      </c>
      <c r="L77" s="227">
        <f t="shared" si="54"/>
        <v>-3.9549111878182559E-3</v>
      </c>
      <c r="M77" s="227">
        <f t="shared" si="54"/>
        <v>-3.9486705219617686E-3</v>
      </c>
      <c r="N77" s="227">
        <f t="shared" si="54"/>
        <v>-3.9202326095069042E-3</v>
      </c>
      <c r="O77" s="227">
        <f t="shared" si="54"/>
        <v>-3.9548997247067091E-3</v>
      </c>
      <c r="P77" s="227">
        <f t="shared" si="54"/>
        <v>-3.9486665951389017E-3</v>
      </c>
      <c r="Q77" s="229">
        <f t="shared" si="54"/>
        <v>-3.9120846850322988E-3</v>
      </c>
      <c r="R77" s="227">
        <f t="shared" si="54"/>
        <v>-3.9429291719748861E-3</v>
      </c>
      <c r="S77" s="229">
        <f t="shared" si="54"/>
        <v>0</v>
      </c>
      <c r="T77" s="228">
        <f t="shared" si="54"/>
        <v>-0.16596542040876466</v>
      </c>
      <c r="U77" s="227"/>
      <c r="V77" s="227"/>
      <c r="W77" s="785"/>
      <c r="X77" s="225"/>
      <c r="Y77" s="224"/>
    </row>
    <row r="78" spans="1:25" ht="15" customHeight="1" x14ac:dyDescent="0.25">
      <c r="B78" s="929"/>
      <c r="C78" s="930"/>
      <c r="D78" s="223"/>
      <c r="E78" s="222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95"/>
      <c r="R78" s="223"/>
      <c r="S78" s="295"/>
      <c r="T78" s="223"/>
      <c r="U78" s="221"/>
      <c r="V78" s="295"/>
      <c r="W78" s="223"/>
      <c r="X78" s="220"/>
      <c r="Y78" s="219"/>
    </row>
    <row r="79" spans="1:25" ht="15" customHeight="1" x14ac:dyDescent="0.2">
      <c r="A79" s="631" t="s">
        <v>407</v>
      </c>
      <c r="B79" s="634"/>
      <c r="C79" s="93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5"/>
      <c r="R79" s="223"/>
      <c r="S79" s="295"/>
      <c r="T79" s="223"/>
      <c r="U79" s="2"/>
      <c r="V79" s="295"/>
      <c r="W79" s="223"/>
    </row>
    <row r="80" spans="1:25" ht="15" customHeight="1" x14ac:dyDescent="0.2">
      <c r="A80" s="632" t="s">
        <v>408</v>
      </c>
      <c r="B80" s="634"/>
      <c r="C80" s="635">
        <f>'P&amp;L'!F44</f>
        <v>-34169.339999999997</v>
      </c>
      <c r="D80" s="634"/>
      <c r="E80" s="634">
        <f>'P&amp;L'!H44</f>
        <v>-187369.769</v>
      </c>
      <c r="F80" s="635">
        <f>'P&amp;L_seasonal'!D44</f>
        <v>-6865.7489999999998</v>
      </c>
      <c r="G80" s="634">
        <f>'P&amp;L_seasonal'!E44</f>
        <v>-6865.8019999999997</v>
      </c>
      <c r="H80" s="634">
        <f>'P&amp;L_seasonal'!F44</f>
        <v>-6681.54</v>
      </c>
      <c r="I80" s="634">
        <f>'P&amp;L_seasonal'!G44</f>
        <v>-6865.8019999999997</v>
      </c>
      <c r="J80" s="634">
        <f>'P&amp;L_seasonal'!H44</f>
        <v>-7050.2370000000001</v>
      </c>
      <c r="K80" s="634">
        <f>'P&amp;L_seasonal'!I44</f>
        <v>-6549.8789999999999</v>
      </c>
      <c r="L80" s="634">
        <f>'P&amp;L_seasonal'!J44</f>
        <v>-7111.3450000000003</v>
      </c>
      <c r="M80" s="634">
        <f>'P&amp;L_seasonal'!K44</f>
        <v>-6923.8190000000004</v>
      </c>
      <c r="N80" s="634">
        <f>'P&amp;L_seasonal'!L44</f>
        <v>-6175.2269999999999</v>
      </c>
      <c r="O80" s="634">
        <f>'P&amp;L_seasonal'!M44</f>
        <v>-7110.9809999999998</v>
      </c>
      <c r="P80" s="634">
        <f>'P&amp;L_seasonal'!N44</f>
        <v>-6923.6959999999999</v>
      </c>
      <c r="Q80" s="634">
        <f>'P&amp;L_seasonal'!O44</f>
        <v>-5988.0079999999998</v>
      </c>
      <c r="R80" s="635">
        <f>'P&amp;L'!I44</f>
        <v>-81112.085000000006</v>
      </c>
      <c r="S80" s="634"/>
      <c r="T80" s="635">
        <f t="shared" ref="T80:T82" si="55">R80-E80</f>
        <v>106257.68399999999</v>
      </c>
      <c r="U80" s="633"/>
      <c r="V80" s="634"/>
      <c r="W80" s="786"/>
    </row>
    <row r="81" spans="1:23" ht="15" customHeight="1" x14ac:dyDescent="0.2">
      <c r="A81" s="636" t="s">
        <v>409</v>
      </c>
      <c r="B81" s="634"/>
      <c r="C81" s="635">
        <f>'P&amp;L'!F46</f>
        <v>-5747.29</v>
      </c>
      <c r="D81" s="634"/>
      <c r="E81" s="634">
        <f>'P&amp;L'!H46</f>
        <v>-34122.71</v>
      </c>
      <c r="F81" s="635">
        <f>'P&amp;L_seasonal'!D46</f>
        <v>0</v>
      </c>
      <c r="G81" s="634">
        <f>'P&amp;L_seasonal'!E46</f>
        <v>0</v>
      </c>
      <c r="H81" s="634">
        <f>'P&amp;L_seasonal'!F46</f>
        <v>0</v>
      </c>
      <c r="I81" s="634">
        <f>'P&amp;L_seasonal'!G46</f>
        <v>0</v>
      </c>
      <c r="J81" s="634">
        <f>'P&amp;L_seasonal'!H46</f>
        <v>0</v>
      </c>
      <c r="K81" s="634">
        <f>'P&amp;L_seasonal'!I46</f>
        <v>0</v>
      </c>
      <c r="L81" s="634">
        <f>'P&amp;L_seasonal'!J46</f>
        <v>0</v>
      </c>
      <c r="M81" s="634">
        <f>'P&amp;L_seasonal'!K46</f>
        <v>0</v>
      </c>
      <c r="N81" s="634">
        <f>'P&amp;L_seasonal'!L46</f>
        <v>0</v>
      </c>
      <c r="O81" s="634">
        <f>'P&amp;L_seasonal'!M46</f>
        <v>0</v>
      </c>
      <c r="P81" s="634">
        <f>'P&amp;L_seasonal'!N46</f>
        <v>0</v>
      </c>
      <c r="Q81" s="634">
        <f>'P&amp;L_seasonal'!O46</f>
        <v>0</v>
      </c>
      <c r="R81" s="635">
        <f>'P&amp;L'!I46</f>
        <v>0</v>
      </c>
      <c r="S81" s="634"/>
      <c r="T81" s="635">
        <f t="shared" si="55"/>
        <v>34122.71</v>
      </c>
      <c r="U81" s="633"/>
      <c r="V81" s="633"/>
      <c r="W81" s="787"/>
    </row>
    <row r="82" spans="1:23" ht="15" customHeight="1" x14ac:dyDescent="0.2">
      <c r="A82" s="636" t="s">
        <v>410</v>
      </c>
      <c r="B82" s="634"/>
      <c r="C82" s="635">
        <f>'P&amp;L'!F8</f>
        <v>10156179.187999999</v>
      </c>
      <c r="D82" s="634"/>
      <c r="E82" s="634">
        <f>'P&amp;L'!H8</f>
        <v>21211769.708999999</v>
      </c>
      <c r="F82" s="635">
        <f>'P&amp;L_seasonal'!D8</f>
        <v>1739629.5279999999</v>
      </c>
      <c r="G82" s="634">
        <f>'P&amp;L_seasonal'!E8</f>
        <v>1739642.172</v>
      </c>
      <c r="H82" s="634">
        <f>'P&amp;L_seasonal'!F8</f>
        <v>1695770.175</v>
      </c>
      <c r="I82" s="634">
        <f>'P&amp;L_seasonal'!G8</f>
        <v>1739642.172</v>
      </c>
      <c r="J82" s="634">
        <f>'P&amp;L_seasonal'!H8</f>
        <v>1783555.132</v>
      </c>
      <c r="K82" s="634">
        <f>'P&amp;L_seasonal'!I8</f>
        <v>1664422.378</v>
      </c>
      <c r="L82" s="634">
        <f>'P&amp;L_seasonal'!J8</f>
        <v>1798104.8529999999</v>
      </c>
      <c r="M82" s="634">
        <f>'P&amp;L_seasonal'!K8</f>
        <v>1753455.7420000001</v>
      </c>
      <c r="N82" s="634">
        <f>'P&amp;L_seasonal'!L8</f>
        <v>1575219.5379999999</v>
      </c>
      <c r="O82" s="634">
        <f>'P&amp;L_seasonal'!M8</f>
        <v>1798018.027</v>
      </c>
      <c r="P82" s="634">
        <f>'P&amp;L_seasonal'!N8</f>
        <v>1753426.3359999999</v>
      </c>
      <c r="Q82" s="634">
        <f>'P&amp;L_seasonal'!O8</f>
        <v>1530643.757</v>
      </c>
      <c r="R82" s="635">
        <f>'P&amp;L'!I8</f>
        <v>20571529.809999999</v>
      </c>
      <c r="S82" s="633"/>
      <c r="T82" s="635">
        <f t="shared" si="55"/>
        <v>-640239.89900000021</v>
      </c>
      <c r="U82" s="633"/>
      <c r="V82" s="633"/>
      <c r="W82" s="787"/>
    </row>
    <row r="83" spans="1:23" ht="15" customHeight="1" x14ac:dyDescent="0.2">
      <c r="B83" s="5" t="s">
        <v>411</v>
      </c>
      <c r="C83" s="752">
        <f>C75-C80</f>
        <v>0</v>
      </c>
      <c r="D83" s="96"/>
      <c r="E83" s="96">
        <f>E75-E80</f>
        <v>0</v>
      </c>
      <c r="F83" s="752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52">
        <f>R75-R80</f>
        <v>0</v>
      </c>
      <c r="S83" s="96"/>
      <c r="T83" s="752">
        <f>T80-T75</f>
        <v>0</v>
      </c>
      <c r="W83" s="788"/>
    </row>
    <row r="84" spans="1:23" ht="15" customHeight="1" x14ac:dyDescent="0.2">
      <c r="B84" s="5" t="s">
        <v>412</v>
      </c>
      <c r="C84" s="752">
        <f>C70-C81</f>
        <v>0</v>
      </c>
      <c r="D84" s="96"/>
      <c r="E84" s="96">
        <f>E70-E81</f>
        <v>0</v>
      </c>
      <c r="F84" s="752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52">
        <f>R70-R81</f>
        <v>0</v>
      </c>
      <c r="S84" s="96"/>
      <c r="T84" s="752">
        <f>T70-T81</f>
        <v>0</v>
      </c>
      <c r="W84" s="788"/>
    </row>
    <row r="85" spans="1:23" ht="15" customHeight="1" x14ac:dyDescent="0.2">
      <c r="B85" s="5" t="s">
        <v>413</v>
      </c>
      <c r="C85" s="752">
        <f>C76-C82</f>
        <v>0</v>
      </c>
      <c r="D85" s="96"/>
      <c r="E85" s="96">
        <f>E76-E82</f>
        <v>0</v>
      </c>
      <c r="F85" s="752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52">
        <f>R76-R82</f>
        <v>0</v>
      </c>
      <c r="S85" s="96"/>
      <c r="T85" s="752">
        <f>T76-T82</f>
        <v>0</v>
      </c>
      <c r="W85" s="788"/>
    </row>
    <row r="86" spans="1:23" ht="15" customHeight="1" x14ac:dyDescent="0.2"/>
    <row r="87" spans="1:23" ht="15" customHeight="1" x14ac:dyDescent="0.2"/>
    <row r="88" spans="1:23" ht="15" customHeight="1" x14ac:dyDescent="0.2"/>
  </sheetData>
  <mergeCells count="6">
    <mergeCell ref="T4:V4"/>
    <mergeCell ref="A4:B4"/>
    <mergeCell ref="A5:B5"/>
    <mergeCell ref="F4:Q4"/>
    <mergeCell ref="R4:S4"/>
    <mergeCell ref="C4:E4"/>
  </mergeCells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Normal="100" workbookViewId="0">
      <pane xSplit="2" ySplit="5" topLeftCell="C6" activePane="bottomRight" state="frozen"/>
      <selection pane="topRight" activeCell="H16" sqref="H16"/>
      <selection pane="bottomLeft" activeCell="H16" sqref="H16"/>
      <selection pane="bottomRight" activeCell="H7" sqref="H7"/>
    </sheetView>
  </sheetViews>
  <sheetFormatPr defaultColWidth="8.7109375" defaultRowHeight="12.75" customHeight="1" outlineLevelRow="1" x14ac:dyDescent="0.2"/>
  <cols>
    <col min="1" max="1" width="41.28515625" style="220" customWidth="1"/>
    <col min="2" max="2" width="20.42578125" style="220" customWidth="1"/>
    <col min="3" max="3" width="13.28515625" style="220" customWidth="1"/>
    <col min="4" max="5" width="11.5703125" style="220" customWidth="1"/>
    <col min="6" max="16" width="8.7109375" style="220" customWidth="1"/>
    <col min="17" max="17" width="12.42578125" style="220" bestFit="1" customWidth="1"/>
    <col min="18" max="18" width="11" style="220" customWidth="1"/>
    <col min="19" max="19" width="11.5703125" style="220" customWidth="1"/>
    <col min="20" max="20" width="12.42578125" style="220" customWidth="1"/>
    <col min="21" max="21" width="15.28515625" style="220" customWidth="1"/>
    <col min="22" max="22" width="10.5703125" style="220" customWidth="1"/>
    <col min="23" max="23" width="48.7109375" style="220" bestFit="1" customWidth="1"/>
    <col min="24" max="24" width="5.28515625" style="220" customWidth="1"/>
    <col min="25" max="25" width="66.7109375" style="220" customWidth="1"/>
    <col min="26" max="16384" width="8.7109375" style="220"/>
  </cols>
  <sheetData>
    <row r="1" spans="1:25" ht="20.100000000000001" customHeight="1" x14ac:dyDescent="0.25">
      <c r="A1" s="60" t="str">
        <f>+'0. Instructions'!A1</f>
        <v>Budget 2024</v>
      </c>
      <c r="D1" s="306"/>
      <c r="F1" s="218"/>
      <c r="G1" s="218"/>
      <c r="H1" s="58"/>
      <c r="I1" s="60"/>
      <c r="J1" s="60"/>
      <c r="K1" s="60"/>
      <c r="L1" s="218"/>
      <c r="M1" s="218"/>
      <c r="N1" s="218"/>
      <c r="O1" s="58"/>
      <c r="P1" s="60"/>
      <c r="Q1" s="60"/>
      <c r="R1" s="60"/>
      <c r="S1" s="218"/>
      <c r="T1" s="218"/>
      <c r="U1" s="218"/>
      <c r="V1" s="58"/>
      <c r="W1" s="60" t="str">
        <f>'Input-FX Rates'!$H$1</f>
        <v>Plant ICH Icheon (242)</v>
      </c>
      <c r="X1" s="305"/>
      <c r="Y1" s="56" t="s">
        <v>154</v>
      </c>
    </row>
    <row r="2" spans="1:25" ht="20.100000000000001" customHeight="1" thickBot="1" x14ac:dyDescent="0.3">
      <c r="A2" s="55" t="s">
        <v>318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7521 &amp; 7522 PL Mechatronic Sensors (&amp; Electrification)</v>
      </c>
      <c r="Y2" s="95" t="s">
        <v>156</v>
      </c>
    </row>
    <row r="3" spans="1:25" ht="13.5" customHeight="1" x14ac:dyDescent="0.2"/>
    <row r="4" spans="1:25" ht="36.75" customHeight="1" x14ac:dyDescent="0.2">
      <c r="A4" s="1027" t="str">
        <f>"in '000 "&amp;"EUR"</f>
        <v>in '000 EUR</v>
      </c>
      <c r="B4" s="1030"/>
      <c r="C4" s="1029">
        <v>2023</v>
      </c>
      <c r="D4" s="1027"/>
      <c r="E4" s="1030"/>
      <c r="F4" s="1029">
        <v>2024</v>
      </c>
      <c r="G4" s="1027"/>
      <c r="H4" s="1027"/>
      <c r="I4" s="1027"/>
      <c r="J4" s="1027"/>
      <c r="K4" s="1027"/>
      <c r="L4" s="1027"/>
      <c r="M4" s="1027"/>
      <c r="N4" s="1027"/>
      <c r="O4" s="1027"/>
      <c r="P4" s="1027"/>
      <c r="Q4" s="1028"/>
      <c r="R4" s="1031">
        <v>2024</v>
      </c>
      <c r="S4" s="1028" t="s">
        <v>251</v>
      </c>
      <c r="T4" s="1031" t="s">
        <v>319</v>
      </c>
      <c r="U4" s="1027"/>
      <c r="V4" s="1028"/>
      <c r="W4" s="186" t="s">
        <v>208</v>
      </c>
    </row>
    <row r="5" spans="1:25" ht="45" customHeight="1" x14ac:dyDescent="0.2">
      <c r="A5" s="1027"/>
      <c r="B5" s="1030"/>
      <c r="C5" s="645" t="s">
        <v>242</v>
      </c>
      <c r="D5" s="186" t="s">
        <v>414</v>
      </c>
      <c r="E5" s="187" t="s">
        <v>19</v>
      </c>
      <c r="F5" s="645" t="s">
        <v>321</v>
      </c>
      <c r="G5" s="186" t="s">
        <v>322</v>
      </c>
      <c r="H5" s="186" t="s">
        <v>323</v>
      </c>
      <c r="I5" s="186" t="s">
        <v>324</v>
      </c>
      <c r="J5" s="186" t="s">
        <v>325</v>
      </c>
      <c r="K5" s="186" t="s">
        <v>326</v>
      </c>
      <c r="L5" s="186" t="s">
        <v>327</v>
      </c>
      <c r="M5" s="186" t="s">
        <v>328</v>
      </c>
      <c r="N5" s="186" t="s">
        <v>329</v>
      </c>
      <c r="O5" s="186" t="s">
        <v>330</v>
      </c>
      <c r="P5" s="186" t="s">
        <v>331</v>
      </c>
      <c r="Q5" s="644" t="s">
        <v>332</v>
      </c>
      <c r="R5" s="186" t="s">
        <v>15</v>
      </c>
      <c r="S5" s="644" t="s">
        <v>251</v>
      </c>
      <c r="T5" s="186" t="s">
        <v>333</v>
      </c>
      <c r="U5" s="186" t="s">
        <v>334</v>
      </c>
      <c r="V5" s="644" t="s">
        <v>335</v>
      </c>
      <c r="W5" s="186"/>
    </row>
    <row r="6" spans="1:25" ht="17.649999999999999" customHeight="1" outlineLevel="1" x14ac:dyDescent="0.2">
      <c r="A6" s="213" t="s">
        <v>336</v>
      </c>
      <c r="B6" s="214"/>
      <c r="C6" s="265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5"/>
      <c r="S6" s="80"/>
      <c r="T6" s="78"/>
      <c r="U6" s="78"/>
      <c r="V6" s="264"/>
      <c r="W6" s="213" t="str">
        <f>IF(ISBLANK('3. Scrap (LC)'!W6),"",'3. Scrap (LC)'!W6)</f>
        <v/>
      </c>
      <c r="Y6" s="266"/>
    </row>
    <row r="7" spans="1:25" s="242" customFormat="1" ht="17.649999999999999" customHeight="1" outlineLevel="1" x14ac:dyDescent="0.2">
      <c r="A7" s="326" t="s">
        <v>337</v>
      </c>
      <c r="B7" s="325" t="str">
        <f>+'3. Scrap (LC)'!B7</f>
        <v>Knock Sensor</v>
      </c>
      <c r="C7" s="324">
        <f>IFERROR('3. Scrap (LC)'!C7/'Input-FX Rates'!$E$16,0)</f>
        <v>-24.391813677951223</v>
      </c>
      <c r="D7" s="322">
        <f>IFERROR('3. Scrap (LC)'!D7/'Input-FX Rates'!$G$16,0)</f>
        <v>0</v>
      </c>
      <c r="E7" s="323">
        <f>IFERROR('3. Scrap (LC)'!E7/'Input-FX Rates'!$G$16,0)</f>
        <v>-133.46043992615014</v>
      </c>
      <c r="F7" s="322">
        <f>IFERROR('3. Scrap (LC)'!F7/'Input-FX Rates'!$H$16,0)</f>
        <v>-4.334858004383161</v>
      </c>
      <c r="G7" s="322">
        <f>IFERROR('3. Scrap (LC)'!G7/'Input-FX Rates'!$H$16,0)</f>
        <v>-4.3348946283831147</v>
      </c>
      <c r="H7" s="322">
        <f>IFERROR('3. Scrap (LC)'!H7/'Input-FX Rates'!$H$16,0)</f>
        <v>-4.2268423205231223</v>
      </c>
      <c r="I7" s="322">
        <f>IFERROR('3. Scrap (LC)'!I7/'Input-FX Rates'!$H$16,0)</f>
        <v>-4.3348946283831147</v>
      </c>
      <c r="J7" s="322">
        <f>IFERROR('3. Scrap (LC)'!J7/'Input-FX Rates'!$H$16,0)</f>
        <v>-4.4429844002430583</v>
      </c>
      <c r="K7" s="322">
        <f>IFERROR('3. Scrap (LC)'!K7/'Input-FX Rates'!$H$16,0)</f>
        <v>-4.155098634616083</v>
      </c>
      <c r="L7" s="322">
        <f>IFERROR('3. Scrap (LC)'!L7/'Input-FX Rates'!$H$16,0)</f>
        <v>-4.485161052188408</v>
      </c>
      <c r="M7" s="322">
        <f>IFERROR('3. Scrap (LC)'!M7/'Input-FX Rates'!$H$16,0)</f>
        <v>-4.3750200843311235</v>
      </c>
      <c r="N7" s="322">
        <f>IFERROR('3. Scrap (LC)'!N7/'Input-FX Rates'!$H$16,0)</f>
        <v>-3.9349307709013632</v>
      </c>
      <c r="O7" s="322">
        <f>IFERROR('3. Scrap (LC)'!O7/'Input-FX Rates'!$H$16,0)</f>
        <v>-4.4849907001886287</v>
      </c>
      <c r="P7" s="322">
        <f>IFERROR('3. Scrap (LC)'!P7/'Input-FX Rates'!$H$16,0)</f>
        <v>-4.374934908331233</v>
      </c>
      <c r="Q7" s="323">
        <f>IFERROR('3. Scrap (LC)'!Q7/'Input-FX Rates'!$H$16,0)</f>
        <v>-3.8248884190439481</v>
      </c>
      <c r="R7" s="324">
        <f>SUM(F7:Q7)</f>
        <v>-51.30949855151637</v>
      </c>
      <c r="S7" s="323">
        <f>IFERROR('3. Scrap (LC)'!S7/'Input-FX Rates'!$H$16,0)</f>
        <v>0</v>
      </c>
      <c r="T7" s="322">
        <f t="shared" ref="T7:T42" si="0">R7-E7</f>
        <v>82.150941374633774</v>
      </c>
      <c r="U7" s="328">
        <f>R7-E9*R8</f>
        <v>56.602792393403405</v>
      </c>
      <c r="V7" s="327">
        <f>IFERROR(R8/E8*E7-E7,0)</f>
        <v>25.548148981230369</v>
      </c>
      <c r="W7" s="319" t="str">
        <f>IF(ISBLANK('3. Scrap (LC)'!W7),"",'3. Scrap (LC)'!W7)</f>
        <v/>
      </c>
      <c r="Y7" s="266" t="s">
        <v>339</v>
      </c>
    </row>
    <row r="8" spans="1:25" s="242" customFormat="1" ht="17.649999999999999" customHeight="1" outlineLevel="1" x14ac:dyDescent="0.2">
      <c r="A8" s="326" t="s">
        <v>340</v>
      </c>
      <c r="B8" s="325" t="str">
        <f>+'3. Scrap (LC)'!B8</f>
        <v>Knock Sensor</v>
      </c>
      <c r="C8" s="324">
        <f>IFERROR('3. Scrap (LC)'!C8/'Input-FX Rates'!$E$16,0)</f>
        <v>7249.997525078973</v>
      </c>
      <c r="D8" s="322">
        <f>IFERROR('3. Scrap (LC)'!D8/'Input-FX Rates'!$G$16,0)</f>
        <v>0</v>
      </c>
      <c r="E8" s="323">
        <f>IFERROR('3. Scrap (LC)'!E8/'Input-FX Rates'!$G$16,0)</f>
        <v>15108.805136332556</v>
      </c>
      <c r="F8" s="322">
        <f>IFERROR('3. Scrap (LC)'!F8/'Input-FX Rates'!$H$16,0)</f>
        <v>1032.1090499999998</v>
      </c>
      <c r="G8" s="322">
        <f>IFERROR('3. Scrap (LC)'!G8/'Input-FX Rates'!$H$16,0)</f>
        <v>1032.1177699999998</v>
      </c>
      <c r="H8" s="322">
        <f>IFERROR('3. Scrap (LC)'!H8/'Input-FX Rates'!$H$16,0)</f>
        <v>1006.3910299999999</v>
      </c>
      <c r="I8" s="322">
        <f>IFERROR('3. Scrap (LC)'!I8/'Input-FX Rates'!$H$16,0)</f>
        <v>1032.1177699999998</v>
      </c>
      <c r="J8" s="322">
        <f>IFERROR('3. Scrap (LC)'!J8/'Input-FX Rates'!$H$16,0)</f>
        <v>1057.8534299999999</v>
      </c>
      <c r="K8" s="322">
        <f>IFERROR('3. Scrap (LC)'!K8/'Input-FX Rates'!$H$16,0)</f>
        <v>989.30919999999969</v>
      </c>
      <c r="L8" s="322">
        <f>IFERROR('3. Scrap (LC)'!L8/'Input-FX Rates'!$H$16,0)</f>
        <v>1067.8954899999997</v>
      </c>
      <c r="M8" s="322">
        <f>IFERROR('3. Scrap (LC)'!M8/'Input-FX Rates'!$H$16,0)</f>
        <v>1041.6714500000003</v>
      </c>
      <c r="N8" s="322">
        <f>IFERROR('3. Scrap (LC)'!N8/'Input-FX Rates'!$H$16,0)</f>
        <v>936.88828000000001</v>
      </c>
      <c r="O8" s="322">
        <f>IFERROR('3. Scrap (LC)'!O8/'Input-FX Rates'!$H$16,0)</f>
        <v>1067.85493</v>
      </c>
      <c r="P8" s="322">
        <f>IFERROR('3. Scrap (LC)'!P8/'Input-FX Rates'!$H$16,0)</f>
        <v>1041.6511700000001</v>
      </c>
      <c r="Q8" s="323">
        <f>IFERROR('3. Scrap (LC)'!Q8/'Input-FX Rates'!$H$16,0)</f>
        <v>910.68771999999956</v>
      </c>
      <c r="R8" s="324">
        <f>SUM(F8:Q8)</f>
        <v>12216.547289999997</v>
      </c>
      <c r="S8" s="323">
        <f>IFERROR('3. Scrap (LC)'!S8/'Input-FX Rates'!$H$16,0)</f>
        <v>0</v>
      </c>
      <c r="T8" s="322">
        <f t="shared" si="0"/>
        <v>-2892.257846332559</v>
      </c>
      <c r="U8" s="321">
        <f>IFERROR(-U7/(E7+V7),0)</f>
        <v>0.52452590801074184</v>
      </c>
      <c r="V8" s="320"/>
      <c r="W8" s="319" t="str">
        <f>IF(ISBLANK('3. Scrap (LC)'!W8),"",'3. Scrap (LC)'!W8)</f>
        <v/>
      </c>
      <c r="Y8" s="266" t="s">
        <v>341</v>
      </c>
    </row>
    <row r="9" spans="1:25" ht="17.649999999999999" customHeight="1" outlineLevel="1" x14ac:dyDescent="0.2">
      <c r="A9" s="318" t="s">
        <v>342</v>
      </c>
      <c r="B9" s="317" t="str">
        <f>+'3. Scrap (LC)'!B9</f>
        <v>Knock Sensor</v>
      </c>
      <c r="C9" s="271">
        <f t="shared" ref="C9" si="1">IFERROR(C7/C8,0)</f>
        <v>-3.3643892420067451E-3</v>
      </c>
      <c r="D9" s="269">
        <f t="shared" ref="D9:P9" si="2">IFERROR(D7/D8,0)</f>
        <v>0</v>
      </c>
      <c r="E9" s="272">
        <f t="shared" si="2"/>
        <v>-8.83328884858103E-3</v>
      </c>
      <c r="F9" s="269">
        <f t="shared" si="2"/>
        <v>-4.1999999945579024E-3</v>
      </c>
      <c r="G9" s="269">
        <f t="shared" si="2"/>
        <v>-4.1999999945579033E-3</v>
      </c>
      <c r="H9" s="269">
        <f t="shared" si="2"/>
        <v>-4.1999999945579033E-3</v>
      </c>
      <c r="I9" s="269">
        <f t="shared" si="2"/>
        <v>-4.1999999945579033E-3</v>
      </c>
      <c r="J9" s="269">
        <f t="shared" si="2"/>
        <v>-4.1999999945579024E-3</v>
      </c>
      <c r="K9" s="269">
        <f t="shared" si="2"/>
        <v>-4.1999999945579042E-3</v>
      </c>
      <c r="L9" s="269">
        <f t="shared" si="2"/>
        <v>-4.1999999945579033E-3</v>
      </c>
      <c r="M9" s="269">
        <f t="shared" si="2"/>
        <v>-4.1999999945579024E-3</v>
      </c>
      <c r="N9" s="269">
        <f t="shared" si="2"/>
        <v>-4.1999999945579033E-3</v>
      </c>
      <c r="O9" s="269">
        <f t="shared" si="2"/>
        <v>-4.1999999945579016E-3</v>
      </c>
      <c r="P9" s="269">
        <f t="shared" si="2"/>
        <v>-4.1999999945579024E-3</v>
      </c>
      <c r="Q9" s="272">
        <f>IFERROR(Q7/Q8,0)</f>
        <v>-4.1999999945579042E-3</v>
      </c>
      <c r="R9" s="271">
        <f>IFERROR(R7/R8,0)</f>
        <v>-4.1999999945579042E-3</v>
      </c>
      <c r="S9" s="272">
        <f>+'3. Scrap (LC)'!S9</f>
        <v>0</v>
      </c>
      <c r="T9" s="269">
        <f t="shared" si="0"/>
        <v>4.6332888540231258E-3</v>
      </c>
      <c r="U9" s="333"/>
      <c r="V9" s="270"/>
      <c r="W9" s="316" t="str">
        <f>IF(ISBLANK('3. Scrap (LC)'!W9),"",'3. Scrap (LC)'!W9)</f>
        <v/>
      </c>
      <c r="Y9" s="266"/>
    </row>
    <row r="10" spans="1:25" s="242" customFormat="1" ht="17.649999999999999" customHeight="1" outlineLevel="1" x14ac:dyDescent="0.2">
      <c r="A10" s="326" t="s">
        <v>343</v>
      </c>
      <c r="B10" s="325" t="str">
        <f>+'3. Scrap (LC)'!B10</f>
        <v>Door Handle Sensor</v>
      </c>
      <c r="C10" s="324">
        <f>IFERROR('3. Scrap (LC)'!C10/'Input-FX Rates'!$E$16,0)</f>
        <v>0</v>
      </c>
      <c r="D10" s="322">
        <f>IFERROR('3. Scrap (LC)'!D10/'Input-FX Rates'!$G$16,0)</f>
        <v>0</v>
      </c>
      <c r="E10" s="323">
        <f>IFERROR('3. Scrap (LC)'!E10/'Input-FX Rates'!$G$16,0)</f>
        <v>-2.4222042494666914E-2</v>
      </c>
      <c r="F10" s="322">
        <f>IFERROR('3. Scrap (LC)'!F10/'Input-FX Rates'!$H$16,0)</f>
        <v>-0.40014130748152182</v>
      </c>
      <c r="G10" s="322">
        <f>IFERROR('3. Scrap (LC)'!G10/'Input-FX Rates'!$H$16,0)</f>
        <v>-0.40014130748152194</v>
      </c>
      <c r="H10" s="322">
        <f>IFERROR('3. Scrap (LC)'!H10/'Input-FX Rates'!$H$16,0)</f>
        <v>-0.38111610550617353</v>
      </c>
      <c r="I10" s="322">
        <f>IFERROR('3. Scrap (LC)'!I10/'Input-FX Rates'!$H$16,0)</f>
        <v>-0.40014130748152194</v>
      </c>
      <c r="J10" s="322">
        <f>IFERROR('3. Scrap (LC)'!J10/'Input-FX Rates'!$H$16,0)</f>
        <v>-0.41924769545676505</v>
      </c>
      <c r="K10" s="322">
        <f>IFERROR('3. Scrap (LC)'!K10/'Input-FX Rates'!$H$16,0)</f>
        <v>-0.3620592775308662</v>
      </c>
      <c r="L10" s="322">
        <f>IFERROR('3. Scrap (LC)'!L10/'Input-FX Rates'!$H$16,0)</f>
        <v>-0.41921506145680737</v>
      </c>
      <c r="M10" s="322">
        <f>IFERROR('3. Scrap (LC)'!M10/'Input-FX Rates'!$H$16,0)</f>
        <v>-0.40002757148166923</v>
      </c>
      <c r="N10" s="322">
        <f>IFERROR('3. Scrap (LC)'!N10/'Input-FX Rates'!$H$16,0)</f>
        <v>-0.32384650158037998</v>
      </c>
      <c r="O10" s="322">
        <f>IFERROR('3. Scrap (LC)'!O10/'Input-FX Rates'!$H$16,0)</f>
        <v>-0.41913391745691242</v>
      </c>
      <c r="P10" s="322">
        <f>IFERROR('3. Scrap (LC)'!P10/'Input-FX Rates'!$H$16,0)</f>
        <v>-0.40002757148166923</v>
      </c>
      <c r="Q10" s="323">
        <f>IFERROR('3. Scrap (LC)'!Q10/'Input-FX Rates'!$H$16,0)</f>
        <v>-0.30477278960509441</v>
      </c>
      <c r="R10" s="324">
        <f>SUM(F10:Q10)</f>
        <v>-4.6298704140009033</v>
      </c>
      <c r="S10" s="323">
        <f>IFERROR('3. Scrap (LC)'!S10/'Input-FX Rates'!$H$16,0)</f>
        <v>0</v>
      </c>
      <c r="T10" s="322">
        <f t="shared" si="0"/>
        <v>-4.605648371506236</v>
      </c>
      <c r="U10" s="328">
        <f>R10-E12*R11</f>
        <v>5.1305210964157482</v>
      </c>
      <c r="V10" s="327">
        <f>IFERROR(R11/E11*E10-E10,0)</f>
        <v>-9.7361694679219841</v>
      </c>
      <c r="W10" s="319" t="str">
        <f>IF(ISBLANK('3. Scrap (LC)'!W10),"",'3. Scrap (LC)'!W10)</f>
        <v/>
      </c>
      <c r="Y10" s="266"/>
    </row>
    <row r="11" spans="1:25" s="242" customFormat="1" ht="17.649999999999999" customHeight="1" outlineLevel="1" x14ac:dyDescent="0.2">
      <c r="A11" s="326" t="s">
        <v>345</v>
      </c>
      <c r="B11" s="325" t="str">
        <f>+'3. Scrap (LC)'!B11</f>
        <v>Door Handle Sensor</v>
      </c>
      <c r="C11" s="324">
        <f>IFERROR('3. Scrap (LC)'!C11/'Input-FX Rates'!$E$16,0)</f>
        <v>0</v>
      </c>
      <c r="D11" s="322">
        <f>IFERROR('3. Scrap (LC)'!D11/'Input-FX Rates'!$G$16,0)</f>
        <v>0</v>
      </c>
      <c r="E11" s="323">
        <f>IFERROR('3. Scrap (LC)'!E11/'Input-FX Rates'!$G$16,0)</f>
        <v>2.7356659758682671</v>
      </c>
      <c r="F11" s="322">
        <f>IFERROR('3. Scrap (LC)'!F11/'Input-FX Rates'!$H$16,0)</f>
        <v>95.271739999999994</v>
      </c>
      <c r="G11" s="322">
        <f>IFERROR('3. Scrap (LC)'!G11/'Input-FX Rates'!$H$16,0)</f>
        <v>95.271739999999994</v>
      </c>
      <c r="H11" s="322">
        <f>IFERROR('3. Scrap (LC)'!H11/'Input-FX Rates'!$H$16,0)</f>
        <v>90.741929999999996</v>
      </c>
      <c r="I11" s="322">
        <f>IFERROR('3. Scrap (LC)'!I11/'Input-FX Rates'!$H$16,0)</f>
        <v>95.271739999999994</v>
      </c>
      <c r="J11" s="322">
        <f>IFERROR('3. Scrap (LC)'!J11/'Input-FX Rates'!$H$16,0)</f>
        <v>99.820880000000002</v>
      </c>
      <c r="K11" s="322">
        <f>IFERROR('3. Scrap (LC)'!K11/'Input-FX Rates'!$H$16,0)</f>
        <v>86.20459000000001</v>
      </c>
      <c r="L11" s="322">
        <f>IFERROR('3. Scrap (LC)'!L11/'Input-FX Rates'!$H$16,0)</f>
        <v>99.813110000000009</v>
      </c>
      <c r="M11" s="322">
        <f>IFERROR('3. Scrap (LC)'!M11/'Input-FX Rates'!$H$16,0)</f>
        <v>95.244659999999982</v>
      </c>
      <c r="N11" s="322">
        <f>IFERROR('3. Scrap (LC)'!N11/'Input-FX Rates'!$H$16,0)</f>
        <v>77.106309999999993</v>
      </c>
      <c r="O11" s="322">
        <f>IFERROR('3. Scrap (LC)'!O11/'Input-FX Rates'!$H$16,0)</f>
        <v>99.793789999999987</v>
      </c>
      <c r="P11" s="322">
        <f>IFERROR('3. Scrap (LC)'!P11/'Input-FX Rates'!$H$16,0)</f>
        <v>95.244659999999982</v>
      </c>
      <c r="Q11" s="323">
        <f>IFERROR('3. Scrap (LC)'!Q11/'Input-FX Rates'!$H$16,0)</f>
        <v>72.564949999999996</v>
      </c>
      <c r="R11" s="324">
        <f>SUM(F11:Q11)</f>
        <v>1102.3500999999999</v>
      </c>
      <c r="S11" s="323">
        <f>IFERROR('3. Scrap (LC)'!S11/'Input-FX Rates'!$H$16,0)</f>
        <v>0</v>
      </c>
      <c r="T11" s="322">
        <f t="shared" si="0"/>
        <v>1099.6144340241317</v>
      </c>
      <c r="U11" s="321">
        <f>-IFERROR(U10/(E10+V10),0)</f>
        <v>0.52564705943816559</v>
      </c>
      <c r="V11" s="320"/>
      <c r="W11" s="319" t="str">
        <f>IF(ISBLANK('3. Scrap (LC)'!W11),"",'3. Scrap (LC)'!W11)</f>
        <v/>
      </c>
      <c r="Y11" s="266"/>
    </row>
    <row r="12" spans="1:25" ht="17.649999999999999" customHeight="1" outlineLevel="1" x14ac:dyDescent="0.2">
      <c r="A12" s="318" t="s">
        <v>346</v>
      </c>
      <c r="B12" s="317" t="str">
        <f>+'3. Scrap (LC)'!B12</f>
        <v>Door Handle Sensor</v>
      </c>
      <c r="C12" s="271">
        <f t="shared" ref="C12" si="3">IFERROR(C10/C11,0)</f>
        <v>0</v>
      </c>
      <c r="D12" s="269">
        <f t="shared" ref="D12:R12" si="4">IFERROR(D10/D11,0)</f>
        <v>0</v>
      </c>
      <c r="E12" s="272">
        <f t="shared" si="4"/>
        <v>-8.8541666666666543E-3</v>
      </c>
      <c r="F12" s="269">
        <f t="shared" si="4"/>
        <v>-4.1999999945579016E-3</v>
      </c>
      <c r="G12" s="269">
        <f t="shared" si="4"/>
        <v>-4.1999999945579033E-3</v>
      </c>
      <c r="H12" s="269">
        <f t="shared" si="4"/>
        <v>-4.1999999945579024E-3</v>
      </c>
      <c r="I12" s="269">
        <f t="shared" si="4"/>
        <v>-4.1999999945579033E-3</v>
      </c>
      <c r="J12" s="269">
        <f t="shared" si="4"/>
        <v>-4.1999999945579024E-3</v>
      </c>
      <c r="K12" s="269">
        <f t="shared" si="4"/>
        <v>-4.1999999945579016E-3</v>
      </c>
      <c r="L12" s="269">
        <f t="shared" si="4"/>
        <v>-4.1999999945579024E-3</v>
      </c>
      <c r="M12" s="269">
        <f t="shared" si="4"/>
        <v>-4.1999999945579024E-3</v>
      </c>
      <c r="N12" s="269">
        <f t="shared" si="4"/>
        <v>-4.1999999945579033E-3</v>
      </c>
      <c r="O12" s="269">
        <f t="shared" si="4"/>
        <v>-4.1999999945579024E-3</v>
      </c>
      <c r="P12" s="269">
        <f t="shared" si="4"/>
        <v>-4.1999999945579024E-3</v>
      </c>
      <c r="Q12" s="272">
        <f t="shared" si="4"/>
        <v>-4.1999999945579016E-3</v>
      </c>
      <c r="R12" s="271">
        <f t="shared" si="4"/>
        <v>-4.1999999945579033E-3</v>
      </c>
      <c r="S12" s="272">
        <f>+'3. Scrap (LC)'!S12</f>
        <v>0</v>
      </c>
      <c r="T12" s="269">
        <f t="shared" si="0"/>
        <v>4.654166672108751E-3</v>
      </c>
      <c r="U12" s="333"/>
      <c r="V12" s="270"/>
      <c r="W12" s="316" t="str">
        <f>IF(ISBLANK('3. Scrap (LC)'!W12),"",'3. Scrap (LC)'!W12)</f>
        <v/>
      </c>
      <c r="Y12" s="266"/>
    </row>
    <row r="13" spans="1:25" s="242" customFormat="1" ht="17.649999999999999" customHeight="1" outlineLevel="1" x14ac:dyDescent="0.2">
      <c r="A13" s="326" t="s">
        <v>347</v>
      </c>
      <c r="B13" s="325" t="str">
        <f>+'3. Scrap (LC)'!B13</f>
        <v>Area 3</v>
      </c>
      <c r="C13" s="324">
        <f>IFERROR('3. Scrap (LC)'!C13/'Input-FX Rates'!$E$16,0)</f>
        <v>0</v>
      </c>
      <c r="D13" s="322">
        <f>IFERROR('3. Scrap (LC)'!D13/'Input-FX Rates'!$G$16,0)</f>
        <v>0</v>
      </c>
      <c r="E13" s="323">
        <f>IFERROR('3. Scrap (LC)'!E13/'Input-FX Rates'!$G$16,0)</f>
        <v>0</v>
      </c>
      <c r="F13" s="322">
        <f>IFERROR('3. Scrap (LC)'!F13/'Input-FX Rates'!$H$16,0)</f>
        <v>0</v>
      </c>
      <c r="G13" s="322">
        <f>IFERROR('3. Scrap (LC)'!G13/'Input-FX Rates'!$H$16,0)</f>
        <v>0</v>
      </c>
      <c r="H13" s="322">
        <f>IFERROR('3. Scrap (LC)'!H13/'Input-FX Rates'!$H$16,0)</f>
        <v>0</v>
      </c>
      <c r="I13" s="322">
        <f>IFERROR('3. Scrap (LC)'!I13/'Input-FX Rates'!$H$16,0)</f>
        <v>0</v>
      </c>
      <c r="J13" s="322">
        <f>IFERROR('3. Scrap (LC)'!J13/'Input-FX Rates'!$H$16,0)</f>
        <v>0</v>
      </c>
      <c r="K13" s="322">
        <f>IFERROR('3. Scrap (LC)'!K13/'Input-FX Rates'!$H$16,0)</f>
        <v>0</v>
      </c>
      <c r="L13" s="322">
        <f>IFERROR('3. Scrap (LC)'!L13/'Input-FX Rates'!$H$16,0)</f>
        <v>0</v>
      </c>
      <c r="M13" s="322">
        <f>IFERROR('3. Scrap (LC)'!M13/'Input-FX Rates'!$H$16,0)</f>
        <v>0</v>
      </c>
      <c r="N13" s="322">
        <f>IFERROR('3. Scrap (LC)'!N13/'Input-FX Rates'!$H$16,0)</f>
        <v>0</v>
      </c>
      <c r="O13" s="322">
        <f>IFERROR('3. Scrap (LC)'!O13/'Input-FX Rates'!$H$16,0)</f>
        <v>0</v>
      </c>
      <c r="P13" s="322">
        <f>IFERROR('3. Scrap (LC)'!P13/'Input-FX Rates'!$H$16,0)</f>
        <v>0</v>
      </c>
      <c r="Q13" s="323">
        <f>IFERROR('3. Scrap (LC)'!Q13/'Input-FX Rates'!$H$16,0)</f>
        <v>0</v>
      </c>
      <c r="R13" s="324">
        <f>SUM(F13:Q13)</f>
        <v>0</v>
      </c>
      <c r="S13" s="323">
        <f>IFERROR('3. Scrap (LC)'!S13/'Input-FX Rates'!$H$16,0)</f>
        <v>0</v>
      </c>
      <c r="T13" s="322">
        <f t="shared" si="0"/>
        <v>0</v>
      </c>
      <c r="U13" s="328">
        <f>R13-E15*R14</f>
        <v>0</v>
      </c>
      <c r="V13" s="327">
        <f>IFERROR(R14/E14*E13-E13,0)</f>
        <v>0</v>
      </c>
      <c r="W13" s="319" t="str">
        <f>IF(ISBLANK('3. Scrap (LC)'!W13),"",'3. Scrap (LC)'!W13)</f>
        <v/>
      </c>
      <c r="Y13" s="266"/>
    </row>
    <row r="14" spans="1:25" s="242" customFormat="1" ht="17.649999999999999" customHeight="1" outlineLevel="1" x14ac:dyDescent="0.2">
      <c r="A14" s="326" t="s">
        <v>349</v>
      </c>
      <c r="B14" s="325" t="str">
        <f>+'3. Scrap (LC)'!B14</f>
        <v>Area 3</v>
      </c>
      <c r="C14" s="324">
        <f>IFERROR('3. Scrap (LC)'!C14/'Input-FX Rates'!$E$16,0)</f>
        <v>0</v>
      </c>
      <c r="D14" s="322">
        <f>IFERROR('3. Scrap (LC)'!D14/'Input-FX Rates'!$G$16,0)</f>
        <v>0</v>
      </c>
      <c r="E14" s="323">
        <f>IFERROR('3. Scrap (LC)'!E14/'Input-FX Rates'!$G$16,0)</f>
        <v>0</v>
      </c>
      <c r="F14" s="322">
        <f>IFERROR('3. Scrap (LC)'!F14/'Input-FX Rates'!$H$16,0)</f>
        <v>0</v>
      </c>
      <c r="G14" s="322">
        <f>IFERROR('3. Scrap (LC)'!G14/'Input-FX Rates'!$H$16,0)</f>
        <v>0</v>
      </c>
      <c r="H14" s="322">
        <f>IFERROR('3. Scrap (LC)'!H14/'Input-FX Rates'!$H$16,0)</f>
        <v>0</v>
      </c>
      <c r="I14" s="322">
        <f>IFERROR('3. Scrap (LC)'!I14/'Input-FX Rates'!$H$16,0)</f>
        <v>0</v>
      </c>
      <c r="J14" s="322">
        <f>IFERROR('3. Scrap (LC)'!J14/'Input-FX Rates'!$H$16,0)</f>
        <v>0</v>
      </c>
      <c r="K14" s="322">
        <f>IFERROR('3. Scrap (LC)'!K14/'Input-FX Rates'!$H$16,0)</f>
        <v>0</v>
      </c>
      <c r="L14" s="322">
        <f>IFERROR('3. Scrap (LC)'!L14/'Input-FX Rates'!$H$16,0)</f>
        <v>0</v>
      </c>
      <c r="M14" s="322">
        <f>IFERROR('3. Scrap (LC)'!M14/'Input-FX Rates'!$H$16,0)</f>
        <v>0</v>
      </c>
      <c r="N14" s="322">
        <f>IFERROR('3. Scrap (LC)'!N14/'Input-FX Rates'!$H$16,0)</f>
        <v>0</v>
      </c>
      <c r="O14" s="322">
        <f>IFERROR('3. Scrap (LC)'!O14/'Input-FX Rates'!$H$16,0)</f>
        <v>0</v>
      </c>
      <c r="P14" s="322">
        <f>IFERROR('3. Scrap (LC)'!P14/'Input-FX Rates'!$H$16,0)</f>
        <v>0</v>
      </c>
      <c r="Q14" s="323">
        <f>IFERROR('3. Scrap (LC)'!Q14/'Input-FX Rates'!$H$16,0)</f>
        <v>0</v>
      </c>
      <c r="R14" s="324">
        <f>SUM(F14:Q14)</f>
        <v>0</v>
      </c>
      <c r="S14" s="323">
        <f>IFERROR('3. Scrap (LC)'!S14/'Input-FX Rates'!$H$16,0)</f>
        <v>0</v>
      </c>
      <c r="T14" s="322">
        <f t="shared" si="0"/>
        <v>0</v>
      </c>
      <c r="U14" s="321">
        <f>IFERROR(-U13/(E13+V13),0)</f>
        <v>0</v>
      </c>
      <c r="V14" s="320"/>
      <c r="W14" s="319" t="str">
        <f>IF(ISBLANK('3. Scrap (LC)'!W14),"",'3. Scrap (LC)'!W14)</f>
        <v/>
      </c>
      <c r="Y14" s="266"/>
    </row>
    <row r="15" spans="1:25" ht="17.649999999999999" customHeight="1" outlineLevel="1" x14ac:dyDescent="0.2">
      <c r="A15" s="318" t="s">
        <v>350</v>
      </c>
      <c r="B15" s="317" t="str">
        <f>+'3. Scrap (LC)'!B15</f>
        <v>Area 3</v>
      </c>
      <c r="C15" s="271">
        <f t="shared" ref="C15" si="5">IFERROR(C13/C14,0)</f>
        <v>0</v>
      </c>
      <c r="D15" s="269">
        <f t="shared" ref="D15:R15" si="6">IFERROR(D13/D14,0)</f>
        <v>0</v>
      </c>
      <c r="E15" s="272">
        <f t="shared" si="6"/>
        <v>0</v>
      </c>
      <c r="F15" s="269">
        <f t="shared" si="6"/>
        <v>0</v>
      </c>
      <c r="G15" s="269">
        <f t="shared" si="6"/>
        <v>0</v>
      </c>
      <c r="H15" s="269">
        <f t="shared" si="6"/>
        <v>0</v>
      </c>
      <c r="I15" s="269">
        <f t="shared" si="6"/>
        <v>0</v>
      </c>
      <c r="J15" s="269">
        <f t="shared" si="6"/>
        <v>0</v>
      </c>
      <c r="K15" s="269">
        <f t="shared" si="6"/>
        <v>0</v>
      </c>
      <c r="L15" s="269">
        <f t="shared" si="6"/>
        <v>0</v>
      </c>
      <c r="M15" s="269">
        <f t="shared" si="6"/>
        <v>0</v>
      </c>
      <c r="N15" s="269">
        <f t="shared" si="6"/>
        <v>0</v>
      </c>
      <c r="O15" s="269">
        <f t="shared" si="6"/>
        <v>0</v>
      </c>
      <c r="P15" s="269">
        <f t="shared" si="6"/>
        <v>0</v>
      </c>
      <c r="Q15" s="272">
        <f t="shared" si="6"/>
        <v>0</v>
      </c>
      <c r="R15" s="271">
        <f t="shared" si="6"/>
        <v>0</v>
      </c>
      <c r="S15" s="272">
        <f>+'3. Scrap (LC)'!S15</f>
        <v>0</v>
      </c>
      <c r="T15" s="269">
        <f t="shared" si="0"/>
        <v>0</v>
      </c>
      <c r="U15" s="333"/>
      <c r="V15" s="270"/>
      <c r="W15" s="316" t="str">
        <f>IF(ISBLANK('3. Scrap (LC)'!W15),"",'3. Scrap (LC)'!W15)</f>
        <v/>
      </c>
      <c r="Y15" s="266"/>
    </row>
    <row r="16" spans="1:25" s="242" customFormat="1" ht="17.649999999999999" customHeight="1" outlineLevel="1" x14ac:dyDescent="0.2">
      <c r="A16" s="326" t="s">
        <v>351</v>
      </c>
      <c r="B16" s="325" t="str">
        <f>+'3. Scrap (LC)'!B16</f>
        <v>Area 4</v>
      </c>
      <c r="C16" s="324">
        <f>IFERROR('3. Scrap (LC)'!C16/'Input-FX Rates'!$E$16,0)</f>
        <v>0</v>
      </c>
      <c r="D16" s="322">
        <f>IFERROR('3. Scrap (LC)'!D16/'Input-FX Rates'!$G$16,0)</f>
        <v>0</v>
      </c>
      <c r="E16" s="323">
        <f>IFERROR('3. Scrap (LC)'!E16/'Input-FX Rates'!$G$16,0)</f>
        <v>0</v>
      </c>
      <c r="F16" s="322">
        <f>IFERROR('3. Scrap (LC)'!F16/'Input-FX Rates'!$H$16,0)</f>
        <v>0</v>
      </c>
      <c r="G16" s="322">
        <f>IFERROR('3. Scrap (LC)'!G16/'Input-FX Rates'!$H$16,0)</f>
        <v>0</v>
      </c>
      <c r="H16" s="322">
        <f>IFERROR('3. Scrap (LC)'!H16/'Input-FX Rates'!$H$16,0)</f>
        <v>0</v>
      </c>
      <c r="I16" s="322">
        <f>IFERROR('3. Scrap (LC)'!I16/'Input-FX Rates'!$H$16,0)</f>
        <v>0</v>
      </c>
      <c r="J16" s="322">
        <f>IFERROR('3. Scrap (LC)'!J16/'Input-FX Rates'!$H$16,0)</f>
        <v>0</v>
      </c>
      <c r="K16" s="322">
        <f>IFERROR('3. Scrap (LC)'!K16/'Input-FX Rates'!$H$16,0)</f>
        <v>0</v>
      </c>
      <c r="L16" s="322">
        <f>IFERROR('3. Scrap (LC)'!L16/'Input-FX Rates'!$H$16,0)</f>
        <v>0</v>
      </c>
      <c r="M16" s="322">
        <f>IFERROR('3. Scrap (LC)'!M16/'Input-FX Rates'!$H$16,0)</f>
        <v>0</v>
      </c>
      <c r="N16" s="322">
        <f>IFERROR('3. Scrap (LC)'!N16/'Input-FX Rates'!$H$16,0)</f>
        <v>0</v>
      </c>
      <c r="O16" s="322">
        <f>IFERROR('3. Scrap (LC)'!O16/'Input-FX Rates'!$H$16,0)</f>
        <v>0</v>
      </c>
      <c r="P16" s="322">
        <f>IFERROR('3. Scrap (LC)'!P16/'Input-FX Rates'!$H$16,0)</f>
        <v>0</v>
      </c>
      <c r="Q16" s="323">
        <f>IFERROR('3. Scrap (LC)'!Q16/'Input-FX Rates'!$H$16,0)</f>
        <v>0</v>
      </c>
      <c r="R16" s="324">
        <f>SUM(F16:Q16)</f>
        <v>0</v>
      </c>
      <c r="S16" s="323">
        <f>IFERROR('3. Scrap (LC)'!S16/'Input-FX Rates'!$H$16,0)</f>
        <v>0</v>
      </c>
      <c r="T16" s="322">
        <f t="shared" si="0"/>
        <v>0</v>
      </c>
      <c r="U16" s="328">
        <f>R16-E18*R17</f>
        <v>0</v>
      </c>
      <c r="V16" s="327">
        <f>IFERROR(R17/E17*E16-E16,0)</f>
        <v>0</v>
      </c>
      <c r="W16" s="319" t="str">
        <f>IF(ISBLANK('3. Scrap (LC)'!W16),"",'3. Scrap (LC)'!W16)</f>
        <v/>
      </c>
      <c r="Y16" s="266"/>
    </row>
    <row r="17" spans="1:25" s="242" customFormat="1" ht="17.649999999999999" customHeight="1" outlineLevel="1" x14ac:dyDescent="0.2">
      <c r="A17" s="326" t="s">
        <v>353</v>
      </c>
      <c r="B17" s="325" t="str">
        <f>+'3. Scrap (LC)'!B17</f>
        <v>Area 4</v>
      </c>
      <c r="C17" s="324">
        <f>IFERROR('3. Scrap (LC)'!C17/'Input-FX Rates'!$E$16,0)</f>
        <v>0</v>
      </c>
      <c r="D17" s="322">
        <f>IFERROR('3. Scrap (LC)'!D17/'Input-FX Rates'!$G$16,0)</f>
        <v>0</v>
      </c>
      <c r="E17" s="323">
        <f>IFERROR('3. Scrap (LC)'!E17/'Input-FX Rates'!$G$16,0)</f>
        <v>0</v>
      </c>
      <c r="F17" s="322">
        <f>IFERROR('3. Scrap (LC)'!F17/'Input-FX Rates'!$H$16,0)</f>
        <v>0</v>
      </c>
      <c r="G17" s="322">
        <f>IFERROR('3. Scrap (LC)'!G17/'Input-FX Rates'!$H$16,0)</f>
        <v>0</v>
      </c>
      <c r="H17" s="322">
        <f>IFERROR('3. Scrap (LC)'!H17/'Input-FX Rates'!$H$16,0)</f>
        <v>0</v>
      </c>
      <c r="I17" s="322">
        <f>IFERROR('3. Scrap (LC)'!I17/'Input-FX Rates'!$H$16,0)</f>
        <v>0</v>
      </c>
      <c r="J17" s="322">
        <f>IFERROR('3. Scrap (LC)'!J17/'Input-FX Rates'!$H$16,0)</f>
        <v>0</v>
      </c>
      <c r="K17" s="322">
        <f>IFERROR('3. Scrap (LC)'!K17/'Input-FX Rates'!$H$16,0)</f>
        <v>0</v>
      </c>
      <c r="L17" s="322">
        <f>IFERROR('3. Scrap (LC)'!L17/'Input-FX Rates'!$H$16,0)</f>
        <v>0</v>
      </c>
      <c r="M17" s="322">
        <f>IFERROR('3. Scrap (LC)'!M17/'Input-FX Rates'!$H$16,0)</f>
        <v>0</v>
      </c>
      <c r="N17" s="322">
        <f>IFERROR('3. Scrap (LC)'!N17/'Input-FX Rates'!$H$16,0)</f>
        <v>0</v>
      </c>
      <c r="O17" s="322">
        <f>IFERROR('3. Scrap (LC)'!O17/'Input-FX Rates'!$H$16,0)</f>
        <v>0</v>
      </c>
      <c r="P17" s="322">
        <f>IFERROR('3. Scrap (LC)'!P17/'Input-FX Rates'!$H$16,0)</f>
        <v>0</v>
      </c>
      <c r="Q17" s="323">
        <f>IFERROR('3. Scrap (LC)'!Q17/'Input-FX Rates'!$H$16,0)</f>
        <v>0</v>
      </c>
      <c r="R17" s="324">
        <f>SUM(F17:Q17)</f>
        <v>0</v>
      </c>
      <c r="S17" s="323">
        <f>IFERROR('3. Scrap (LC)'!S17/'Input-FX Rates'!$H$16,0)</f>
        <v>0</v>
      </c>
      <c r="T17" s="322">
        <f t="shared" si="0"/>
        <v>0</v>
      </c>
      <c r="U17" s="321">
        <f>IFERROR(-U16/(E16+V16),0)</f>
        <v>0</v>
      </c>
      <c r="V17" s="320"/>
      <c r="W17" s="319" t="str">
        <f>IF(ISBLANK('3. Scrap (LC)'!W17),"",'3. Scrap (LC)'!W17)</f>
        <v/>
      </c>
      <c r="Y17" s="266"/>
    </row>
    <row r="18" spans="1:25" ht="17.649999999999999" customHeight="1" outlineLevel="1" x14ac:dyDescent="0.2">
      <c r="A18" s="318" t="s">
        <v>354</v>
      </c>
      <c r="B18" s="317" t="str">
        <f>+'3. Scrap (LC)'!B18</f>
        <v>Area 4</v>
      </c>
      <c r="C18" s="271">
        <f t="shared" ref="C18" si="7">IFERROR(C16/C17,0)</f>
        <v>0</v>
      </c>
      <c r="D18" s="269">
        <f t="shared" ref="D18:R18" si="8">IFERROR(D16/D17,0)</f>
        <v>0</v>
      </c>
      <c r="E18" s="272">
        <f t="shared" si="8"/>
        <v>0</v>
      </c>
      <c r="F18" s="269">
        <f t="shared" si="8"/>
        <v>0</v>
      </c>
      <c r="G18" s="269">
        <f t="shared" si="8"/>
        <v>0</v>
      </c>
      <c r="H18" s="269">
        <f t="shared" si="8"/>
        <v>0</v>
      </c>
      <c r="I18" s="269">
        <f t="shared" si="8"/>
        <v>0</v>
      </c>
      <c r="J18" s="269">
        <f t="shared" si="8"/>
        <v>0</v>
      </c>
      <c r="K18" s="269">
        <f t="shared" si="8"/>
        <v>0</v>
      </c>
      <c r="L18" s="269">
        <f t="shared" si="8"/>
        <v>0</v>
      </c>
      <c r="M18" s="269">
        <f t="shared" si="8"/>
        <v>0</v>
      </c>
      <c r="N18" s="269">
        <f t="shared" si="8"/>
        <v>0</v>
      </c>
      <c r="O18" s="269">
        <f t="shared" si="8"/>
        <v>0</v>
      </c>
      <c r="P18" s="269">
        <f t="shared" si="8"/>
        <v>0</v>
      </c>
      <c r="Q18" s="272">
        <f t="shared" si="8"/>
        <v>0</v>
      </c>
      <c r="R18" s="271">
        <f t="shared" si="8"/>
        <v>0</v>
      </c>
      <c r="S18" s="272">
        <f>+'3. Scrap (LC)'!S18</f>
        <v>0</v>
      </c>
      <c r="T18" s="269">
        <f t="shared" si="0"/>
        <v>0</v>
      </c>
      <c r="U18" s="333"/>
      <c r="V18" s="270"/>
      <c r="W18" s="316" t="str">
        <f>IF(ISBLANK('3. Scrap (LC)'!W18),"",'3. Scrap (LC)'!W18)</f>
        <v/>
      </c>
      <c r="Y18" s="266"/>
    </row>
    <row r="19" spans="1:25" s="242" customFormat="1" ht="17.649999999999999" customHeight="1" outlineLevel="1" x14ac:dyDescent="0.2">
      <c r="A19" s="326" t="s">
        <v>355</v>
      </c>
      <c r="B19" s="325" t="str">
        <f>+'3. Scrap (LC)'!B19</f>
        <v>Area 5</v>
      </c>
      <c r="C19" s="324">
        <f>IFERROR('3. Scrap (LC)'!C19/'Input-FX Rates'!$E$16,0)</f>
        <v>0</v>
      </c>
      <c r="D19" s="322">
        <f>IFERROR('3. Scrap (LC)'!D19/'Input-FX Rates'!$G$16,0)</f>
        <v>0</v>
      </c>
      <c r="E19" s="323">
        <f>IFERROR('3. Scrap (LC)'!E19/'Input-FX Rates'!$G$16,0)</f>
        <v>0</v>
      </c>
      <c r="F19" s="322">
        <f>IFERROR('3. Scrap (LC)'!F19/'Input-FX Rates'!$H$16,0)</f>
        <v>0</v>
      </c>
      <c r="G19" s="322">
        <f>IFERROR('3. Scrap (LC)'!G19/'Input-FX Rates'!$H$16,0)</f>
        <v>0</v>
      </c>
      <c r="H19" s="322">
        <f>IFERROR('3. Scrap (LC)'!H19/'Input-FX Rates'!$H$16,0)</f>
        <v>0</v>
      </c>
      <c r="I19" s="322">
        <f>IFERROR('3. Scrap (LC)'!I19/'Input-FX Rates'!$H$16,0)</f>
        <v>0</v>
      </c>
      <c r="J19" s="322">
        <f>IFERROR('3. Scrap (LC)'!J19/'Input-FX Rates'!$H$16,0)</f>
        <v>0</v>
      </c>
      <c r="K19" s="322">
        <f>IFERROR('3. Scrap (LC)'!K19/'Input-FX Rates'!$H$16,0)</f>
        <v>0</v>
      </c>
      <c r="L19" s="322">
        <f>IFERROR('3. Scrap (LC)'!L19/'Input-FX Rates'!$H$16,0)</f>
        <v>0</v>
      </c>
      <c r="M19" s="322">
        <f>IFERROR('3. Scrap (LC)'!M19/'Input-FX Rates'!$H$16,0)</f>
        <v>0</v>
      </c>
      <c r="N19" s="322">
        <f>IFERROR('3. Scrap (LC)'!N19/'Input-FX Rates'!$H$16,0)</f>
        <v>0</v>
      </c>
      <c r="O19" s="322">
        <f>IFERROR('3. Scrap (LC)'!O19/'Input-FX Rates'!$H$16,0)</f>
        <v>0</v>
      </c>
      <c r="P19" s="322">
        <f>IFERROR('3. Scrap (LC)'!P19/'Input-FX Rates'!$H$16,0)</f>
        <v>0</v>
      </c>
      <c r="Q19" s="323">
        <f>IFERROR('3. Scrap (LC)'!Q19/'Input-FX Rates'!$H$16,0)</f>
        <v>0</v>
      </c>
      <c r="R19" s="324">
        <f>SUM(F19:Q19)</f>
        <v>0</v>
      </c>
      <c r="S19" s="323">
        <f>IFERROR('3. Scrap (LC)'!S19/'Input-FX Rates'!$H$16,0)</f>
        <v>0</v>
      </c>
      <c r="T19" s="322">
        <f t="shared" si="0"/>
        <v>0</v>
      </c>
      <c r="U19" s="328">
        <f>R19-E21*R20</f>
        <v>0</v>
      </c>
      <c r="V19" s="327">
        <f>IFERROR(R20/E20*E19-E19,0)</f>
        <v>0</v>
      </c>
      <c r="W19" s="319" t="str">
        <f>IF(ISBLANK('3. Scrap (LC)'!W19),"",'3. Scrap (LC)'!W19)</f>
        <v/>
      </c>
      <c r="Y19" s="266"/>
    </row>
    <row r="20" spans="1:25" s="242" customFormat="1" ht="17.649999999999999" customHeight="1" outlineLevel="1" x14ac:dyDescent="0.2">
      <c r="A20" s="326" t="s">
        <v>357</v>
      </c>
      <c r="B20" s="325" t="str">
        <f>+'3. Scrap (LC)'!B20</f>
        <v>Area 5</v>
      </c>
      <c r="C20" s="324">
        <f>IFERROR('3. Scrap (LC)'!C20/'Input-FX Rates'!$E$16,0)</f>
        <v>0</v>
      </c>
      <c r="D20" s="322">
        <f>IFERROR('3. Scrap (LC)'!D20/'Input-FX Rates'!$G$16,0)</f>
        <v>0</v>
      </c>
      <c r="E20" s="323">
        <f>IFERROR('3. Scrap (LC)'!E20/'Input-FX Rates'!$G$16,0)</f>
        <v>0</v>
      </c>
      <c r="F20" s="322">
        <f>IFERROR('3. Scrap (LC)'!F20/'Input-FX Rates'!$H$16,0)</f>
        <v>0</v>
      </c>
      <c r="G20" s="322">
        <f>IFERROR('3. Scrap (LC)'!G20/'Input-FX Rates'!$H$16,0)</f>
        <v>0</v>
      </c>
      <c r="H20" s="322">
        <f>IFERROR('3. Scrap (LC)'!H20/'Input-FX Rates'!$H$16,0)</f>
        <v>0</v>
      </c>
      <c r="I20" s="322">
        <f>IFERROR('3. Scrap (LC)'!I20/'Input-FX Rates'!$H$16,0)</f>
        <v>0</v>
      </c>
      <c r="J20" s="322">
        <f>IFERROR('3. Scrap (LC)'!J20/'Input-FX Rates'!$H$16,0)</f>
        <v>0</v>
      </c>
      <c r="K20" s="322">
        <f>IFERROR('3. Scrap (LC)'!K20/'Input-FX Rates'!$H$16,0)</f>
        <v>0</v>
      </c>
      <c r="L20" s="322">
        <f>IFERROR('3. Scrap (LC)'!L20/'Input-FX Rates'!$H$16,0)</f>
        <v>0</v>
      </c>
      <c r="M20" s="322">
        <f>IFERROR('3. Scrap (LC)'!M20/'Input-FX Rates'!$H$16,0)</f>
        <v>0</v>
      </c>
      <c r="N20" s="322">
        <f>IFERROR('3. Scrap (LC)'!N20/'Input-FX Rates'!$H$16,0)</f>
        <v>0</v>
      </c>
      <c r="O20" s="322">
        <f>IFERROR('3. Scrap (LC)'!O20/'Input-FX Rates'!$H$16,0)</f>
        <v>0</v>
      </c>
      <c r="P20" s="322">
        <f>IFERROR('3. Scrap (LC)'!P20/'Input-FX Rates'!$H$16,0)</f>
        <v>0</v>
      </c>
      <c r="Q20" s="323">
        <f>IFERROR('3. Scrap (LC)'!Q20/'Input-FX Rates'!$H$16,0)</f>
        <v>0</v>
      </c>
      <c r="R20" s="324">
        <f>SUM(F20:Q20)</f>
        <v>0</v>
      </c>
      <c r="S20" s="323">
        <f>IFERROR('3. Scrap (LC)'!S20/'Input-FX Rates'!$H$16,0)</f>
        <v>0</v>
      </c>
      <c r="T20" s="322">
        <f t="shared" si="0"/>
        <v>0</v>
      </c>
      <c r="U20" s="321">
        <f>IFERROR(-U19/(E19+V19),0)</f>
        <v>0</v>
      </c>
      <c r="V20" s="320"/>
      <c r="W20" s="319" t="str">
        <f>IF(ISBLANK('3. Scrap (LC)'!W20),"",'3. Scrap (LC)'!W20)</f>
        <v/>
      </c>
      <c r="Y20" s="266"/>
    </row>
    <row r="21" spans="1:25" ht="17.649999999999999" customHeight="1" outlineLevel="1" x14ac:dyDescent="0.2">
      <c r="A21" s="318" t="s">
        <v>358</v>
      </c>
      <c r="B21" s="317" t="str">
        <f>+'3. Scrap (LC)'!B21</f>
        <v>Area 5</v>
      </c>
      <c r="C21" s="271">
        <f t="shared" ref="C21" si="9">IFERROR(C19/C20,0)</f>
        <v>0</v>
      </c>
      <c r="D21" s="269">
        <f t="shared" ref="D21:R21" si="10">IFERROR(D19/D20,0)</f>
        <v>0</v>
      </c>
      <c r="E21" s="272">
        <f t="shared" si="10"/>
        <v>0</v>
      </c>
      <c r="F21" s="269">
        <f t="shared" si="10"/>
        <v>0</v>
      </c>
      <c r="G21" s="269">
        <f t="shared" si="10"/>
        <v>0</v>
      </c>
      <c r="H21" s="269">
        <f t="shared" si="10"/>
        <v>0</v>
      </c>
      <c r="I21" s="269">
        <f t="shared" si="10"/>
        <v>0</v>
      </c>
      <c r="J21" s="269">
        <f t="shared" si="10"/>
        <v>0</v>
      </c>
      <c r="K21" s="269">
        <f t="shared" si="10"/>
        <v>0</v>
      </c>
      <c r="L21" s="269">
        <f t="shared" si="10"/>
        <v>0</v>
      </c>
      <c r="M21" s="269">
        <f t="shared" si="10"/>
        <v>0</v>
      </c>
      <c r="N21" s="269">
        <f t="shared" si="10"/>
        <v>0</v>
      </c>
      <c r="O21" s="269">
        <f t="shared" si="10"/>
        <v>0</v>
      </c>
      <c r="P21" s="269">
        <f t="shared" si="10"/>
        <v>0</v>
      </c>
      <c r="Q21" s="272">
        <f t="shared" si="10"/>
        <v>0</v>
      </c>
      <c r="R21" s="271">
        <f t="shared" si="10"/>
        <v>0</v>
      </c>
      <c r="S21" s="272">
        <f>+'3. Scrap (LC)'!S21</f>
        <v>0</v>
      </c>
      <c r="T21" s="269">
        <f t="shared" si="0"/>
        <v>0</v>
      </c>
      <c r="U21" s="333"/>
      <c r="V21" s="270"/>
      <c r="W21" s="316" t="str">
        <f>IF(ISBLANK('3. Scrap (LC)'!W21),"",'3. Scrap (LC)'!W21)</f>
        <v/>
      </c>
      <c r="Y21" s="266"/>
    </row>
    <row r="22" spans="1:25" s="242" customFormat="1" ht="17.649999999999999" customHeight="1" outlineLevel="1" x14ac:dyDescent="0.2">
      <c r="A22" s="282" t="s">
        <v>359</v>
      </c>
      <c r="B22" s="325" t="str">
        <f>+'3. Scrap (LC)'!B22</f>
        <v>Area 6</v>
      </c>
      <c r="C22" s="324">
        <f>IFERROR('3. Scrap (LC)'!C22/'Input-FX Rates'!$E$16,0)</f>
        <v>0</v>
      </c>
      <c r="D22" s="322">
        <f>IFERROR('3. Scrap (LC)'!D22/'Input-FX Rates'!$G$16,0)</f>
        <v>0</v>
      </c>
      <c r="E22" s="323">
        <f>IFERROR('3. Scrap (LC)'!E22/'Input-FX Rates'!$G$16,0)</f>
        <v>0</v>
      </c>
      <c r="F22" s="322">
        <f>IFERROR('3. Scrap (LC)'!F22/'Input-FX Rates'!$H$16,0)</f>
        <v>0</v>
      </c>
      <c r="G22" s="322">
        <f>IFERROR('3. Scrap (LC)'!G22/'Input-FX Rates'!$H$16,0)</f>
        <v>0</v>
      </c>
      <c r="H22" s="322">
        <f>IFERROR('3. Scrap (LC)'!H22/'Input-FX Rates'!$H$16,0)</f>
        <v>0</v>
      </c>
      <c r="I22" s="322">
        <f>IFERROR('3. Scrap (LC)'!I22/'Input-FX Rates'!$H$16,0)</f>
        <v>0</v>
      </c>
      <c r="J22" s="322">
        <f>IFERROR('3. Scrap (LC)'!J22/'Input-FX Rates'!$H$16,0)</f>
        <v>0</v>
      </c>
      <c r="K22" s="322">
        <f>IFERROR('3. Scrap (LC)'!K22/'Input-FX Rates'!$H$16,0)</f>
        <v>0</v>
      </c>
      <c r="L22" s="322">
        <f>IFERROR('3. Scrap (LC)'!L22/'Input-FX Rates'!$H$16,0)</f>
        <v>0</v>
      </c>
      <c r="M22" s="322">
        <f>IFERROR('3. Scrap (LC)'!M22/'Input-FX Rates'!$H$16,0)</f>
        <v>0</v>
      </c>
      <c r="N22" s="322">
        <f>IFERROR('3. Scrap (LC)'!N22/'Input-FX Rates'!$H$16,0)</f>
        <v>0</v>
      </c>
      <c r="O22" s="322">
        <f>IFERROR('3. Scrap (LC)'!O22/'Input-FX Rates'!$H$16,0)</f>
        <v>0</v>
      </c>
      <c r="P22" s="322">
        <f>IFERROR('3. Scrap (LC)'!P22/'Input-FX Rates'!$H$16,0)</f>
        <v>0</v>
      </c>
      <c r="Q22" s="323">
        <f>IFERROR('3. Scrap (LC)'!Q22/'Input-FX Rates'!$H$16,0)</f>
        <v>0</v>
      </c>
      <c r="R22" s="324">
        <f>SUM(F22:Q22)</f>
        <v>0</v>
      </c>
      <c r="S22" s="323">
        <f>IFERROR('3. Scrap (LC)'!S22/'Input-FX Rates'!$H$16,0)</f>
        <v>0</v>
      </c>
      <c r="T22" s="322">
        <f t="shared" si="0"/>
        <v>0</v>
      </c>
      <c r="U22" s="328">
        <f>R22-E24*R23</f>
        <v>0</v>
      </c>
      <c r="V22" s="327">
        <f>IFERROR(R23/E23*E22-E22,0)</f>
        <v>0</v>
      </c>
      <c r="W22" s="319" t="str">
        <f>IF(ISBLANK('3. Scrap (LC)'!W22),"",'3. Scrap (LC)'!W22)</f>
        <v/>
      </c>
      <c r="Y22" s="266"/>
    </row>
    <row r="23" spans="1:25" s="242" customFormat="1" ht="17.649999999999999" customHeight="1" outlineLevel="1" x14ac:dyDescent="0.2">
      <c r="A23" s="282" t="s">
        <v>361</v>
      </c>
      <c r="B23" s="325" t="str">
        <f>+'3. Scrap (LC)'!B23</f>
        <v>Area 6</v>
      </c>
      <c r="C23" s="324">
        <f>IFERROR('3. Scrap (LC)'!C23/'Input-FX Rates'!$E$16,0)</f>
        <v>0</v>
      </c>
      <c r="D23" s="322">
        <f>IFERROR('3. Scrap (LC)'!D23/'Input-FX Rates'!$G$16,0)</f>
        <v>0</v>
      </c>
      <c r="E23" s="323">
        <f>IFERROR('3. Scrap (LC)'!E23/'Input-FX Rates'!$G$16,0)</f>
        <v>0</v>
      </c>
      <c r="F23" s="322">
        <f>IFERROR('3. Scrap (LC)'!F23/'Input-FX Rates'!$H$16,0)</f>
        <v>0</v>
      </c>
      <c r="G23" s="322">
        <f>IFERROR('3. Scrap (LC)'!G23/'Input-FX Rates'!$H$16,0)</f>
        <v>0</v>
      </c>
      <c r="H23" s="322">
        <f>IFERROR('3. Scrap (LC)'!H23/'Input-FX Rates'!$H$16,0)</f>
        <v>0</v>
      </c>
      <c r="I23" s="322">
        <f>IFERROR('3. Scrap (LC)'!I23/'Input-FX Rates'!$H$16,0)</f>
        <v>0</v>
      </c>
      <c r="J23" s="322">
        <f>IFERROR('3. Scrap (LC)'!J23/'Input-FX Rates'!$H$16,0)</f>
        <v>0</v>
      </c>
      <c r="K23" s="322">
        <f>IFERROR('3. Scrap (LC)'!K23/'Input-FX Rates'!$H$16,0)</f>
        <v>0</v>
      </c>
      <c r="L23" s="322">
        <f>IFERROR('3. Scrap (LC)'!L23/'Input-FX Rates'!$H$16,0)</f>
        <v>0</v>
      </c>
      <c r="M23" s="322">
        <f>IFERROR('3. Scrap (LC)'!M23/'Input-FX Rates'!$H$16,0)</f>
        <v>0</v>
      </c>
      <c r="N23" s="322">
        <f>IFERROR('3. Scrap (LC)'!N23/'Input-FX Rates'!$H$16,0)</f>
        <v>0</v>
      </c>
      <c r="O23" s="322">
        <f>IFERROR('3. Scrap (LC)'!O23/'Input-FX Rates'!$H$16,0)</f>
        <v>0</v>
      </c>
      <c r="P23" s="322">
        <f>IFERROR('3. Scrap (LC)'!P23/'Input-FX Rates'!$H$16,0)</f>
        <v>0</v>
      </c>
      <c r="Q23" s="323">
        <f>IFERROR('3. Scrap (LC)'!Q23/'Input-FX Rates'!$H$16,0)</f>
        <v>0</v>
      </c>
      <c r="R23" s="324">
        <f>SUM(F23:Q23)</f>
        <v>0</v>
      </c>
      <c r="S23" s="323">
        <f>IFERROR('3. Scrap (LC)'!S23/'Input-FX Rates'!$H$16,0)</f>
        <v>0</v>
      </c>
      <c r="T23" s="322">
        <f t="shared" si="0"/>
        <v>0</v>
      </c>
      <c r="U23" s="321">
        <f>IFERROR(-U22/(E22+V22),0)</f>
        <v>0</v>
      </c>
      <c r="V23" s="320"/>
      <c r="W23" s="319" t="str">
        <f>IF(ISBLANK('3. Scrap (LC)'!W23),"",'3. Scrap (LC)'!W23)</f>
        <v/>
      </c>
      <c r="Y23" s="266"/>
    </row>
    <row r="24" spans="1:25" ht="17.649999999999999" customHeight="1" outlineLevel="1" x14ac:dyDescent="0.2">
      <c r="A24" s="274" t="s">
        <v>362</v>
      </c>
      <c r="B24" s="274" t="str">
        <f>+'3. Scrap (LC)'!B24</f>
        <v>Area 6</v>
      </c>
      <c r="C24" s="271">
        <f>IFERROR(C22/C23,0)</f>
        <v>0</v>
      </c>
      <c r="D24" s="269">
        <f t="shared" ref="D24:R24" si="11">IFERROR(D22/D23,0)</f>
        <v>0</v>
      </c>
      <c r="E24" s="272">
        <f t="shared" si="11"/>
        <v>0</v>
      </c>
      <c r="F24" s="269">
        <f t="shared" si="11"/>
        <v>0</v>
      </c>
      <c r="G24" s="269">
        <f t="shared" si="11"/>
        <v>0</v>
      </c>
      <c r="H24" s="269">
        <f t="shared" si="11"/>
        <v>0</v>
      </c>
      <c r="I24" s="269">
        <f t="shared" si="11"/>
        <v>0</v>
      </c>
      <c r="J24" s="269">
        <f t="shared" si="11"/>
        <v>0</v>
      </c>
      <c r="K24" s="269">
        <f t="shared" si="11"/>
        <v>0</v>
      </c>
      <c r="L24" s="269">
        <f t="shared" si="11"/>
        <v>0</v>
      </c>
      <c r="M24" s="269">
        <f t="shared" si="11"/>
        <v>0</v>
      </c>
      <c r="N24" s="269">
        <f t="shared" si="11"/>
        <v>0</v>
      </c>
      <c r="O24" s="269">
        <f t="shared" si="11"/>
        <v>0</v>
      </c>
      <c r="P24" s="269">
        <f t="shared" si="11"/>
        <v>0</v>
      </c>
      <c r="Q24" s="272">
        <f t="shared" si="11"/>
        <v>0</v>
      </c>
      <c r="R24" s="271">
        <f t="shared" si="11"/>
        <v>0</v>
      </c>
      <c r="S24" s="272">
        <f>+'3. Scrap (LC)'!S24</f>
        <v>0</v>
      </c>
      <c r="T24" s="269">
        <f t="shared" si="0"/>
        <v>0</v>
      </c>
      <c r="U24" s="333"/>
      <c r="V24" s="270"/>
      <c r="W24" s="316" t="str">
        <f>IF(ISBLANK('3. Scrap (LC)'!W24),"",'3. Scrap (LC)'!W24)</f>
        <v/>
      </c>
      <c r="Y24" s="266"/>
    </row>
    <row r="25" spans="1:25" ht="17.649999999999999" customHeight="1" outlineLevel="1" x14ac:dyDescent="0.2">
      <c r="A25" s="282" t="s">
        <v>363</v>
      </c>
      <c r="B25" s="282" t="str">
        <f>+'3. Scrap (LC)'!B25</f>
        <v>Area 7</v>
      </c>
      <c r="C25" s="324">
        <f>IFERROR('3. Scrap (LC)'!C25/'Input-FX Rates'!$E$16,0)</f>
        <v>0</v>
      </c>
      <c r="D25" s="322">
        <f>IFERROR('3. Scrap (LC)'!D25/'Input-FX Rates'!$G$16,0)</f>
        <v>0</v>
      </c>
      <c r="E25" s="323">
        <f>IFERROR('3. Scrap (LC)'!E25/'Input-FX Rates'!$G$16,0)</f>
        <v>0</v>
      </c>
      <c r="F25" s="322">
        <f>IFERROR('3. Scrap (LC)'!F25/'Input-FX Rates'!$H$16,0)</f>
        <v>0</v>
      </c>
      <c r="G25" s="322">
        <f>IFERROR('3. Scrap (LC)'!G25/'Input-FX Rates'!$H$16,0)</f>
        <v>0</v>
      </c>
      <c r="H25" s="322">
        <f>IFERROR('3. Scrap (LC)'!H25/'Input-FX Rates'!$H$16,0)</f>
        <v>0</v>
      </c>
      <c r="I25" s="322">
        <f>IFERROR('3. Scrap (LC)'!I25/'Input-FX Rates'!$H$16,0)</f>
        <v>0</v>
      </c>
      <c r="J25" s="322">
        <f>IFERROR('3. Scrap (LC)'!J25/'Input-FX Rates'!$H$16,0)</f>
        <v>0</v>
      </c>
      <c r="K25" s="322">
        <f>IFERROR('3. Scrap (LC)'!K25/'Input-FX Rates'!$H$16,0)</f>
        <v>0</v>
      </c>
      <c r="L25" s="322">
        <f>IFERROR('3. Scrap (LC)'!L25/'Input-FX Rates'!$H$16,0)</f>
        <v>0</v>
      </c>
      <c r="M25" s="322">
        <f>IFERROR('3. Scrap (LC)'!M25/'Input-FX Rates'!$H$16,0)</f>
        <v>0</v>
      </c>
      <c r="N25" s="322">
        <f>IFERROR('3. Scrap (LC)'!N25/'Input-FX Rates'!$H$16,0)</f>
        <v>0</v>
      </c>
      <c r="O25" s="322">
        <f>IFERROR('3. Scrap (LC)'!O25/'Input-FX Rates'!$H$16,0)</f>
        <v>0</v>
      </c>
      <c r="P25" s="322">
        <f>IFERROR('3. Scrap (LC)'!P25/'Input-FX Rates'!$H$16,0)</f>
        <v>0</v>
      </c>
      <c r="Q25" s="323">
        <f>IFERROR('3. Scrap (LC)'!Q25/'Input-FX Rates'!$H$16,0)</f>
        <v>0</v>
      </c>
      <c r="R25" s="324">
        <f>SUM(F25:Q25)</f>
        <v>0</v>
      </c>
      <c r="S25" s="323">
        <f>IFERROR('3. Scrap (LC)'!S19/'Input-FX Rates'!$H$16,0)</f>
        <v>0</v>
      </c>
      <c r="T25" s="322">
        <f t="shared" si="0"/>
        <v>0</v>
      </c>
      <c r="U25" s="328">
        <f>R25-E27*R26</f>
        <v>0</v>
      </c>
      <c r="V25" s="327">
        <f>IFERROR(R26/E26*E25-E25,0)</f>
        <v>0</v>
      </c>
      <c r="W25" s="319" t="str">
        <f>IF(ISBLANK('3. Scrap (LC)'!W25),"",'3. Scrap (LC)'!W25)</f>
        <v/>
      </c>
      <c r="Y25" s="266"/>
    </row>
    <row r="26" spans="1:25" ht="17.649999999999999" customHeight="1" outlineLevel="1" x14ac:dyDescent="0.2">
      <c r="A26" s="282" t="s">
        <v>365</v>
      </c>
      <c r="B26" s="282" t="str">
        <f>+'3. Scrap (LC)'!B26</f>
        <v>Area 7</v>
      </c>
      <c r="C26" s="324">
        <f>IFERROR('3. Scrap (LC)'!C26/'Input-FX Rates'!$E$16,0)</f>
        <v>0</v>
      </c>
      <c r="D26" s="322">
        <f>IFERROR('3. Scrap (LC)'!D26/'Input-FX Rates'!$G$16,0)</f>
        <v>0</v>
      </c>
      <c r="E26" s="323">
        <f>IFERROR('3. Scrap (LC)'!E26/'Input-FX Rates'!$G$16,0)</f>
        <v>0</v>
      </c>
      <c r="F26" s="322">
        <f>IFERROR('3. Scrap (LC)'!F26/'Input-FX Rates'!$H$16,0)</f>
        <v>0</v>
      </c>
      <c r="G26" s="322">
        <f>IFERROR('3. Scrap (LC)'!G26/'Input-FX Rates'!$H$16,0)</f>
        <v>0</v>
      </c>
      <c r="H26" s="322">
        <f>IFERROR('3. Scrap (LC)'!H26/'Input-FX Rates'!$H$16,0)</f>
        <v>0</v>
      </c>
      <c r="I26" s="322">
        <f>IFERROR('3. Scrap (LC)'!I26/'Input-FX Rates'!$H$16,0)</f>
        <v>0</v>
      </c>
      <c r="J26" s="322">
        <f>IFERROR('3. Scrap (LC)'!J26/'Input-FX Rates'!$H$16,0)</f>
        <v>0</v>
      </c>
      <c r="K26" s="322">
        <f>IFERROR('3. Scrap (LC)'!K26/'Input-FX Rates'!$H$16,0)</f>
        <v>0</v>
      </c>
      <c r="L26" s="322">
        <f>IFERROR('3. Scrap (LC)'!L26/'Input-FX Rates'!$H$16,0)</f>
        <v>0</v>
      </c>
      <c r="M26" s="322">
        <f>IFERROR('3. Scrap (LC)'!M26/'Input-FX Rates'!$H$16,0)</f>
        <v>0</v>
      </c>
      <c r="N26" s="322">
        <f>IFERROR('3. Scrap (LC)'!N26/'Input-FX Rates'!$H$16,0)</f>
        <v>0</v>
      </c>
      <c r="O26" s="322">
        <f>IFERROR('3. Scrap (LC)'!O26/'Input-FX Rates'!$H$16,0)</f>
        <v>0</v>
      </c>
      <c r="P26" s="322">
        <f>IFERROR('3. Scrap (LC)'!P26/'Input-FX Rates'!$H$16,0)</f>
        <v>0</v>
      </c>
      <c r="Q26" s="323">
        <f>IFERROR('3. Scrap (LC)'!Q26/'Input-FX Rates'!$H$16,0)</f>
        <v>0</v>
      </c>
      <c r="R26" s="324">
        <f>SUM(F26:Q26)</f>
        <v>0</v>
      </c>
      <c r="S26" s="323">
        <f>IFERROR('3. Scrap (LC)'!S19/'Input-FX Rates'!$H$16,0)</f>
        <v>0</v>
      </c>
      <c r="T26" s="322">
        <f t="shared" si="0"/>
        <v>0</v>
      </c>
      <c r="U26" s="321">
        <f>IFERROR(-U25/(E25+V25),0)</f>
        <v>0</v>
      </c>
      <c r="V26" s="320"/>
      <c r="W26" s="319" t="str">
        <f>IF(ISBLANK('3. Scrap (LC)'!W26),"",'3. Scrap (LC)'!W26)</f>
        <v/>
      </c>
      <c r="Y26" s="266"/>
    </row>
    <row r="27" spans="1:25" ht="17.649999999999999" customHeight="1" outlineLevel="1" x14ac:dyDescent="0.2">
      <c r="A27" s="274" t="s">
        <v>366</v>
      </c>
      <c r="B27" s="274" t="str">
        <f>+'3. Scrap (LC)'!B27</f>
        <v>Area 7</v>
      </c>
      <c r="C27" s="271">
        <f>IFERROR(C25/C26,0)</f>
        <v>0</v>
      </c>
      <c r="D27" s="269">
        <f t="shared" ref="D27:Q27" si="12">IFERROR(D25/D26,0)</f>
        <v>0</v>
      </c>
      <c r="E27" s="272">
        <f t="shared" si="12"/>
        <v>0</v>
      </c>
      <c r="F27" s="269">
        <f t="shared" si="12"/>
        <v>0</v>
      </c>
      <c r="G27" s="269">
        <f t="shared" si="12"/>
        <v>0</v>
      </c>
      <c r="H27" s="269">
        <f t="shared" si="12"/>
        <v>0</v>
      </c>
      <c r="I27" s="269">
        <f t="shared" si="12"/>
        <v>0</v>
      </c>
      <c r="J27" s="269">
        <f t="shared" si="12"/>
        <v>0</v>
      </c>
      <c r="K27" s="269">
        <f t="shared" si="12"/>
        <v>0</v>
      </c>
      <c r="L27" s="269">
        <f t="shared" si="12"/>
        <v>0</v>
      </c>
      <c r="M27" s="269">
        <f t="shared" si="12"/>
        <v>0</v>
      </c>
      <c r="N27" s="269">
        <f t="shared" si="12"/>
        <v>0</v>
      </c>
      <c r="O27" s="269">
        <f t="shared" si="12"/>
        <v>0</v>
      </c>
      <c r="P27" s="269">
        <f t="shared" si="12"/>
        <v>0</v>
      </c>
      <c r="Q27" s="272">
        <f t="shared" si="12"/>
        <v>0</v>
      </c>
      <c r="R27" s="271">
        <f t="shared" ref="R27" si="13">IFERROR(R25/R26,0)</f>
        <v>0</v>
      </c>
      <c r="S27" s="272">
        <f>+'3. Scrap (LC)'!S27</f>
        <v>0</v>
      </c>
      <c r="T27" s="269">
        <f t="shared" si="0"/>
        <v>0</v>
      </c>
      <c r="U27" s="333"/>
      <c r="V27" s="270"/>
      <c r="W27" s="316"/>
      <c r="Y27" s="266"/>
    </row>
    <row r="28" spans="1:25" ht="17.649999999999999" customHeight="1" outlineLevel="1" x14ac:dyDescent="0.2">
      <c r="A28" s="282" t="s">
        <v>367</v>
      </c>
      <c r="B28" s="282" t="str">
        <f>+'3. Scrap (LC)'!B28</f>
        <v>Area 8</v>
      </c>
      <c r="C28" s="324">
        <f>IFERROR('3. Scrap (LC)'!C28/'Input-FX Rates'!$E$16,0)</f>
        <v>0</v>
      </c>
      <c r="D28" s="322">
        <f>IFERROR('3. Scrap (LC)'!D28/'Input-FX Rates'!$G$16,0)</f>
        <v>0</v>
      </c>
      <c r="E28" s="323">
        <f>IFERROR('3. Scrap (LC)'!E28/'Input-FX Rates'!$G$16,0)</f>
        <v>0</v>
      </c>
      <c r="F28" s="322">
        <f>IFERROR('3. Scrap (LC)'!F28/'Input-FX Rates'!$H$16,0)</f>
        <v>0</v>
      </c>
      <c r="G28" s="322">
        <f>IFERROR('3. Scrap (LC)'!G28/'Input-FX Rates'!$H$16,0)</f>
        <v>0</v>
      </c>
      <c r="H28" s="322">
        <f>IFERROR('3. Scrap (LC)'!H28/'Input-FX Rates'!$H$16,0)</f>
        <v>0</v>
      </c>
      <c r="I28" s="322">
        <f>IFERROR('3. Scrap (LC)'!I28/'Input-FX Rates'!$H$16,0)</f>
        <v>0</v>
      </c>
      <c r="J28" s="322">
        <f>IFERROR('3. Scrap (LC)'!J28/'Input-FX Rates'!$H$16,0)</f>
        <v>0</v>
      </c>
      <c r="K28" s="322">
        <f>IFERROR('3. Scrap (LC)'!K28/'Input-FX Rates'!$H$16,0)</f>
        <v>0</v>
      </c>
      <c r="L28" s="322">
        <f>IFERROR('3. Scrap (LC)'!L28/'Input-FX Rates'!$H$16,0)</f>
        <v>0</v>
      </c>
      <c r="M28" s="322">
        <f>IFERROR('3. Scrap (LC)'!M28/'Input-FX Rates'!$H$16,0)</f>
        <v>0</v>
      </c>
      <c r="N28" s="322">
        <f>IFERROR('3. Scrap (LC)'!N28/'Input-FX Rates'!$H$16,0)</f>
        <v>0</v>
      </c>
      <c r="O28" s="322">
        <f>IFERROR('3. Scrap (LC)'!O28/'Input-FX Rates'!$H$16,0)</f>
        <v>0</v>
      </c>
      <c r="P28" s="322">
        <f>IFERROR('3. Scrap (LC)'!P28/'Input-FX Rates'!$H$16,0)</f>
        <v>0</v>
      </c>
      <c r="Q28" s="323">
        <f>IFERROR('3. Scrap (LC)'!Q28/'Input-FX Rates'!$H$16,0)</f>
        <v>0</v>
      </c>
      <c r="R28" s="324">
        <f>SUM(F28:Q28)</f>
        <v>0</v>
      </c>
      <c r="S28" s="323">
        <f>IFERROR('3. Scrap (LC)'!S19/'Input-FX Rates'!$H$16,0)</f>
        <v>0</v>
      </c>
      <c r="T28" s="322">
        <f t="shared" si="0"/>
        <v>0</v>
      </c>
      <c r="U28" s="328">
        <f>R28-E30*R29</f>
        <v>0</v>
      </c>
      <c r="V28" s="327">
        <f>IFERROR(R29/E29*E28-E28,0)</f>
        <v>0</v>
      </c>
      <c r="W28" s="319" t="str">
        <f>IF(ISBLANK('3. Scrap (LC)'!W28),"",'3. Scrap (LC)'!W28)</f>
        <v/>
      </c>
      <c r="Y28" s="266"/>
    </row>
    <row r="29" spans="1:25" ht="17.649999999999999" customHeight="1" outlineLevel="1" x14ac:dyDescent="0.2">
      <c r="A29" s="282" t="s">
        <v>369</v>
      </c>
      <c r="B29" s="282" t="str">
        <f>+'3. Scrap (LC)'!B29</f>
        <v>Area 8</v>
      </c>
      <c r="C29" s="324">
        <f>IFERROR('3. Scrap (LC)'!C29/'Input-FX Rates'!$E$16,0)</f>
        <v>0</v>
      </c>
      <c r="D29" s="322">
        <f>IFERROR('3. Scrap (LC)'!D29/'Input-FX Rates'!$G$16,0)</f>
        <v>0</v>
      </c>
      <c r="E29" s="323">
        <f>IFERROR('3. Scrap (LC)'!E29/'Input-FX Rates'!$G$16,0)</f>
        <v>0</v>
      </c>
      <c r="F29" s="322">
        <f>IFERROR('3. Scrap (LC)'!F29/'Input-FX Rates'!$H$16,0)</f>
        <v>0</v>
      </c>
      <c r="G29" s="322">
        <f>IFERROR('3. Scrap (LC)'!G29/'Input-FX Rates'!$H$16,0)</f>
        <v>0</v>
      </c>
      <c r="H29" s="322">
        <f>IFERROR('3. Scrap (LC)'!H29/'Input-FX Rates'!$H$16,0)</f>
        <v>0</v>
      </c>
      <c r="I29" s="322">
        <f>IFERROR('3. Scrap (LC)'!I29/'Input-FX Rates'!$H$16,0)</f>
        <v>0</v>
      </c>
      <c r="J29" s="322">
        <f>IFERROR('3. Scrap (LC)'!J29/'Input-FX Rates'!$H$16,0)</f>
        <v>0</v>
      </c>
      <c r="K29" s="322">
        <f>IFERROR('3. Scrap (LC)'!K29/'Input-FX Rates'!$H$16,0)</f>
        <v>0</v>
      </c>
      <c r="L29" s="322">
        <f>IFERROR('3. Scrap (LC)'!L29/'Input-FX Rates'!$H$16,0)</f>
        <v>0</v>
      </c>
      <c r="M29" s="322">
        <f>IFERROR('3. Scrap (LC)'!M29/'Input-FX Rates'!$H$16,0)</f>
        <v>0</v>
      </c>
      <c r="N29" s="322">
        <f>IFERROR('3. Scrap (LC)'!N29/'Input-FX Rates'!$H$16,0)</f>
        <v>0</v>
      </c>
      <c r="O29" s="322">
        <f>IFERROR('3. Scrap (LC)'!O29/'Input-FX Rates'!$H$16,0)</f>
        <v>0</v>
      </c>
      <c r="P29" s="322">
        <f>IFERROR('3. Scrap (LC)'!P29/'Input-FX Rates'!$H$16,0)</f>
        <v>0</v>
      </c>
      <c r="Q29" s="323">
        <f>IFERROR('3. Scrap (LC)'!Q29/'Input-FX Rates'!$H$16,0)</f>
        <v>0</v>
      </c>
      <c r="R29" s="324">
        <f>SUM(F29:Q29)</f>
        <v>0</v>
      </c>
      <c r="S29" s="323">
        <f>IFERROR('3. Scrap (LC)'!S19/'Input-FX Rates'!$H$16,0)</f>
        <v>0</v>
      </c>
      <c r="T29" s="322">
        <f t="shared" si="0"/>
        <v>0</v>
      </c>
      <c r="U29" s="321">
        <f>IFERROR(-U28/(E28+V28),0)</f>
        <v>0</v>
      </c>
      <c r="V29" s="320"/>
      <c r="W29" s="319" t="str">
        <f>IF(ISBLANK('3. Scrap (LC)'!W29),"",'3. Scrap (LC)'!W29)</f>
        <v/>
      </c>
      <c r="Y29" s="266"/>
    </row>
    <row r="30" spans="1:25" ht="17.649999999999999" customHeight="1" outlineLevel="1" x14ac:dyDescent="0.2">
      <c r="A30" s="274" t="s">
        <v>370</v>
      </c>
      <c r="B30" s="274" t="str">
        <f>+'3. Scrap (LC)'!B30</f>
        <v>Area 8</v>
      </c>
      <c r="C30" s="271">
        <f>IFERROR(C28/C29,0)</f>
        <v>0</v>
      </c>
      <c r="D30" s="269">
        <f t="shared" ref="D30:Q30" si="14">IFERROR(D28/D29,0)</f>
        <v>0</v>
      </c>
      <c r="E30" s="272">
        <f t="shared" si="14"/>
        <v>0</v>
      </c>
      <c r="F30" s="269">
        <f t="shared" si="14"/>
        <v>0</v>
      </c>
      <c r="G30" s="269">
        <f t="shared" si="14"/>
        <v>0</v>
      </c>
      <c r="H30" s="269">
        <f t="shared" si="14"/>
        <v>0</v>
      </c>
      <c r="I30" s="269">
        <f t="shared" si="14"/>
        <v>0</v>
      </c>
      <c r="J30" s="269">
        <f t="shared" si="14"/>
        <v>0</v>
      </c>
      <c r="K30" s="269">
        <f t="shared" si="14"/>
        <v>0</v>
      </c>
      <c r="L30" s="269">
        <f t="shared" si="14"/>
        <v>0</v>
      </c>
      <c r="M30" s="269">
        <f t="shared" si="14"/>
        <v>0</v>
      </c>
      <c r="N30" s="269">
        <f t="shared" si="14"/>
        <v>0</v>
      </c>
      <c r="O30" s="269">
        <f t="shared" si="14"/>
        <v>0</v>
      </c>
      <c r="P30" s="269">
        <f t="shared" si="14"/>
        <v>0</v>
      </c>
      <c r="Q30" s="272">
        <f t="shared" si="14"/>
        <v>0</v>
      </c>
      <c r="R30" s="271">
        <f t="shared" ref="R30" si="15">IFERROR(R28/R29,0)</f>
        <v>0</v>
      </c>
      <c r="S30" s="272">
        <f>+'3. Scrap (LC)'!S30</f>
        <v>0</v>
      </c>
      <c r="T30" s="269">
        <f>R30-E30</f>
        <v>0</v>
      </c>
      <c r="U30" s="333"/>
      <c r="V30" s="270"/>
      <c r="W30" s="316"/>
      <c r="Y30" s="266"/>
    </row>
    <row r="31" spans="1:25" ht="17.649999999999999" customHeight="1" outlineLevel="1" x14ac:dyDescent="0.2">
      <c r="A31" s="282" t="s">
        <v>371</v>
      </c>
      <c r="B31" s="282" t="str">
        <f>+'3. Scrap (LC)'!B31</f>
        <v>Area 9</v>
      </c>
      <c r="C31" s="324">
        <f>IFERROR('3. Scrap (LC)'!C31/'Input-FX Rates'!$E$16,0)</f>
        <v>0</v>
      </c>
      <c r="D31" s="322">
        <f>IFERROR('3. Scrap (LC)'!D31/'Input-FX Rates'!$G$16,0)</f>
        <v>0</v>
      </c>
      <c r="E31" s="323">
        <f>IFERROR('3. Scrap (LC)'!E31/'Input-FX Rates'!$G$16,0)</f>
        <v>0</v>
      </c>
      <c r="F31" s="322">
        <f>IFERROR('3. Scrap (LC)'!F31/'Input-FX Rates'!$H$16,0)</f>
        <v>0</v>
      </c>
      <c r="G31" s="322">
        <f>IFERROR('3. Scrap (LC)'!G31/'Input-FX Rates'!$H$16,0)</f>
        <v>0</v>
      </c>
      <c r="H31" s="322">
        <f>IFERROR('3. Scrap (LC)'!H31/'Input-FX Rates'!$H$16,0)</f>
        <v>0</v>
      </c>
      <c r="I31" s="322">
        <f>IFERROR('3. Scrap (LC)'!I31/'Input-FX Rates'!$H$16,0)</f>
        <v>0</v>
      </c>
      <c r="J31" s="322">
        <f>IFERROR('3. Scrap (LC)'!J31/'Input-FX Rates'!$H$16,0)</f>
        <v>0</v>
      </c>
      <c r="K31" s="322">
        <f>IFERROR('3. Scrap (LC)'!K31/'Input-FX Rates'!$H$16,0)</f>
        <v>0</v>
      </c>
      <c r="L31" s="322">
        <f>IFERROR('3. Scrap (LC)'!L31/'Input-FX Rates'!$H$16,0)</f>
        <v>0</v>
      </c>
      <c r="M31" s="322">
        <f>IFERROR('3. Scrap (LC)'!M31/'Input-FX Rates'!$H$16,0)</f>
        <v>0</v>
      </c>
      <c r="N31" s="322">
        <f>IFERROR('3. Scrap (LC)'!N31/'Input-FX Rates'!$H$16,0)</f>
        <v>0</v>
      </c>
      <c r="O31" s="322">
        <f>IFERROR('3. Scrap (LC)'!O31/'Input-FX Rates'!$H$16,0)</f>
        <v>0</v>
      </c>
      <c r="P31" s="322">
        <f>IFERROR('3. Scrap (LC)'!P31/'Input-FX Rates'!$H$16,0)</f>
        <v>0</v>
      </c>
      <c r="Q31" s="323">
        <f>IFERROR('3. Scrap (LC)'!Q31/'Input-FX Rates'!$H$16,0)</f>
        <v>0</v>
      </c>
      <c r="R31" s="324">
        <f>SUM(F31:Q31)</f>
        <v>0</v>
      </c>
      <c r="S31" s="323">
        <f>IFERROR('3. Scrap (LC)'!S19/'Input-FX Rates'!$H$16,0)</f>
        <v>0</v>
      </c>
      <c r="T31" s="322">
        <f t="shared" si="0"/>
        <v>0</v>
      </c>
      <c r="U31" s="328">
        <f>R31-E33*R32</f>
        <v>0</v>
      </c>
      <c r="V31" s="327">
        <f>IFERROR(R32/E32*E31-E31,0)</f>
        <v>0</v>
      </c>
      <c r="W31" s="319" t="str">
        <f>IF(ISBLANK('3. Scrap (LC)'!W31),"",'3. Scrap (LC)'!W31)</f>
        <v/>
      </c>
      <c r="Y31" s="266"/>
    </row>
    <row r="32" spans="1:25" ht="17.649999999999999" customHeight="1" outlineLevel="1" x14ac:dyDescent="0.2">
      <c r="A32" s="282" t="s">
        <v>373</v>
      </c>
      <c r="B32" s="282" t="str">
        <f>+'3. Scrap (LC)'!B32</f>
        <v>Area 9</v>
      </c>
      <c r="C32" s="324">
        <f>IFERROR('3. Scrap (LC)'!C32/'Input-FX Rates'!$E$16,0)</f>
        <v>0</v>
      </c>
      <c r="D32" s="322">
        <f>IFERROR('3. Scrap (LC)'!D32/'Input-FX Rates'!$G$16,0)</f>
        <v>0</v>
      </c>
      <c r="E32" s="323">
        <f>IFERROR('3. Scrap (LC)'!E32/'Input-FX Rates'!$G$16,0)</f>
        <v>0</v>
      </c>
      <c r="F32" s="322">
        <f>IFERROR('3. Scrap (LC)'!F32/'Input-FX Rates'!$H$16,0)</f>
        <v>0</v>
      </c>
      <c r="G32" s="322">
        <f>IFERROR('3. Scrap (LC)'!G32/'Input-FX Rates'!$H$16,0)</f>
        <v>0</v>
      </c>
      <c r="H32" s="322">
        <f>IFERROR('3. Scrap (LC)'!H32/'Input-FX Rates'!$H$16,0)</f>
        <v>0</v>
      </c>
      <c r="I32" s="322">
        <f>IFERROR('3. Scrap (LC)'!I32/'Input-FX Rates'!$H$16,0)</f>
        <v>0</v>
      </c>
      <c r="J32" s="322">
        <f>IFERROR('3. Scrap (LC)'!J32/'Input-FX Rates'!$H$16,0)</f>
        <v>0</v>
      </c>
      <c r="K32" s="322">
        <f>IFERROR('3. Scrap (LC)'!K32/'Input-FX Rates'!$H$16,0)</f>
        <v>0</v>
      </c>
      <c r="L32" s="322">
        <f>IFERROR('3. Scrap (LC)'!L32/'Input-FX Rates'!$H$16,0)</f>
        <v>0</v>
      </c>
      <c r="M32" s="322">
        <f>IFERROR('3. Scrap (LC)'!M32/'Input-FX Rates'!$H$16,0)</f>
        <v>0</v>
      </c>
      <c r="N32" s="322">
        <f>IFERROR('3. Scrap (LC)'!N32/'Input-FX Rates'!$H$16,0)</f>
        <v>0</v>
      </c>
      <c r="O32" s="322">
        <f>IFERROR('3. Scrap (LC)'!O32/'Input-FX Rates'!$H$16,0)</f>
        <v>0</v>
      </c>
      <c r="P32" s="322">
        <f>IFERROR('3. Scrap (LC)'!P32/'Input-FX Rates'!$H$16,0)</f>
        <v>0</v>
      </c>
      <c r="Q32" s="323">
        <f>IFERROR('3. Scrap (LC)'!Q32/'Input-FX Rates'!$H$16,0)</f>
        <v>0</v>
      </c>
      <c r="R32" s="324">
        <f>SUM(F32:Q32)</f>
        <v>0</v>
      </c>
      <c r="S32" s="323">
        <f>IFERROR('3. Scrap (LC)'!S19/'Input-FX Rates'!$H$16,0)</f>
        <v>0</v>
      </c>
      <c r="T32" s="322">
        <f t="shared" si="0"/>
        <v>0</v>
      </c>
      <c r="U32" s="321">
        <f>IFERROR(-U31/(E31+V31),0)</f>
        <v>0</v>
      </c>
      <c r="V32" s="320"/>
      <c r="W32" s="319" t="str">
        <f>IF(ISBLANK('3. Scrap (LC)'!W32),"",'3. Scrap (LC)'!W32)</f>
        <v/>
      </c>
      <c r="Y32" s="266"/>
    </row>
    <row r="33" spans="1:25" ht="17.649999999999999" customHeight="1" outlineLevel="1" x14ac:dyDescent="0.2">
      <c r="A33" s="274" t="s">
        <v>374</v>
      </c>
      <c r="B33" s="274" t="str">
        <f>+'3. Scrap (LC)'!B33</f>
        <v>Area 9</v>
      </c>
      <c r="C33" s="271">
        <f>IFERROR(C31/C32,0)</f>
        <v>0</v>
      </c>
      <c r="D33" s="269">
        <f t="shared" ref="D33:Q33" si="16">IFERROR(D31/D32,0)</f>
        <v>0</v>
      </c>
      <c r="E33" s="272">
        <f t="shared" si="16"/>
        <v>0</v>
      </c>
      <c r="F33" s="269">
        <f t="shared" si="16"/>
        <v>0</v>
      </c>
      <c r="G33" s="269">
        <f t="shared" si="16"/>
        <v>0</v>
      </c>
      <c r="H33" s="269">
        <f t="shared" si="16"/>
        <v>0</v>
      </c>
      <c r="I33" s="269">
        <f t="shared" si="16"/>
        <v>0</v>
      </c>
      <c r="J33" s="269">
        <f t="shared" si="16"/>
        <v>0</v>
      </c>
      <c r="K33" s="269">
        <f t="shared" si="16"/>
        <v>0</v>
      </c>
      <c r="L33" s="269">
        <f t="shared" si="16"/>
        <v>0</v>
      </c>
      <c r="M33" s="269">
        <f t="shared" si="16"/>
        <v>0</v>
      </c>
      <c r="N33" s="269">
        <f t="shared" si="16"/>
        <v>0</v>
      </c>
      <c r="O33" s="269">
        <f t="shared" si="16"/>
        <v>0</v>
      </c>
      <c r="P33" s="269">
        <f t="shared" si="16"/>
        <v>0</v>
      </c>
      <c r="Q33" s="272">
        <f t="shared" si="16"/>
        <v>0</v>
      </c>
      <c r="R33" s="271">
        <f t="shared" ref="R33" si="17">IFERROR(R31/R32,0)</f>
        <v>0</v>
      </c>
      <c r="S33" s="272">
        <f>+'3. Scrap (LC)'!S33</f>
        <v>0</v>
      </c>
      <c r="T33" s="269">
        <f t="shared" si="0"/>
        <v>0</v>
      </c>
      <c r="U33" s="333"/>
      <c r="V33" s="270"/>
      <c r="W33" s="316"/>
      <c r="Y33" s="266"/>
    </row>
    <row r="34" spans="1:25" ht="17.649999999999999" customHeight="1" outlineLevel="1" x14ac:dyDescent="0.2">
      <c r="A34" s="282" t="s">
        <v>375</v>
      </c>
      <c r="B34" s="282" t="str">
        <f>+'3. Scrap (LC)'!B34</f>
        <v>Area 10</v>
      </c>
      <c r="C34" s="324">
        <f>IFERROR('3. Scrap (LC)'!C34/'Input-FX Rates'!$E$16,0)</f>
        <v>0</v>
      </c>
      <c r="D34" s="322">
        <f>IFERROR('3. Scrap (LC)'!D34/'Input-FX Rates'!$G$16,0)</f>
        <v>0</v>
      </c>
      <c r="E34" s="323">
        <f>IFERROR('3. Scrap (LC)'!E34/'Input-FX Rates'!$G$16,0)</f>
        <v>0</v>
      </c>
      <c r="F34" s="322">
        <f>IFERROR('3. Scrap (LC)'!F34/'Input-FX Rates'!$H$16,0)</f>
        <v>0</v>
      </c>
      <c r="G34" s="322">
        <f>IFERROR('3. Scrap (LC)'!G34/'Input-FX Rates'!$H$16,0)</f>
        <v>0</v>
      </c>
      <c r="H34" s="322">
        <f>IFERROR('3. Scrap (LC)'!H34/'Input-FX Rates'!$H$16,0)</f>
        <v>0</v>
      </c>
      <c r="I34" s="322">
        <f>IFERROR('3. Scrap (LC)'!I34/'Input-FX Rates'!$H$16,0)</f>
        <v>0</v>
      </c>
      <c r="J34" s="322">
        <f>IFERROR('3. Scrap (LC)'!J34/'Input-FX Rates'!$H$16,0)</f>
        <v>0</v>
      </c>
      <c r="K34" s="322">
        <f>IFERROR('3. Scrap (LC)'!K34/'Input-FX Rates'!$H$16,0)</f>
        <v>0</v>
      </c>
      <c r="L34" s="322">
        <f>IFERROR('3. Scrap (LC)'!L34/'Input-FX Rates'!$H$16,0)</f>
        <v>0</v>
      </c>
      <c r="M34" s="322">
        <f>IFERROR('3. Scrap (LC)'!M34/'Input-FX Rates'!$H$16,0)</f>
        <v>0</v>
      </c>
      <c r="N34" s="322">
        <f>IFERROR('3. Scrap (LC)'!N34/'Input-FX Rates'!$H$16,0)</f>
        <v>0</v>
      </c>
      <c r="O34" s="322">
        <f>IFERROR('3. Scrap (LC)'!O34/'Input-FX Rates'!$H$16,0)</f>
        <v>0</v>
      </c>
      <c r="P34" s="322">
        <f>IFERROR('3. Scrap (LC)'!P34/'Input-FX Rates'!$H$16,0)</f>
        <v>0</v>
      </c>
      <c r="Q34" s="323">
        <f>IFERROR('3. Scrap (LC)'!Q34/'Input-FX Rates'!$H$16,0)</f>
        <v>0</v>
      </c>
      <c r="R34" s="324">
        <f>SUM(F34:Q34)</f>
        <v>0</v>
      </c>
      <c r="S34" s="323">
        <f>IFERROR('3. Scrap (LC)'!S19/'Input-FX Rates'!$H$16,0)</f>
        <v>0</v>
      </c>
      <c r="T34" s="322">
        <f t="shared" si="0"/>
        <v>0</v>
      </c>
      <c r="U34" s="328">
        <f>R34-E36*R35</f>
        <v>0</v>
      </c>
      <c r="V34" s="327">
        <f>IFERROR(R35/E35*E34-E34,0)</f>
        <v>0</v>
      </c>
      <c r="W34" s="319" t="str">
        <f>IF(ISBLANK('3. Scrap (LC)'!W34),"",'3. Scrap (LC)'!W34)</f>
        <v/>
      </c>
      <c r="Y34" s="266"/>
    </row>
    <row r="35" spans="1:25" ht="17.649999999999999" customHeight="1" outlineLevel="1" x14ac:dyDescent="0.2">
      <c r="A35" s="282" t="s">
        <v>377</v>
      </c>
      <c r="B35" s="282" t="str">
        <f>+'3. Scrap (LC)'!B35</f>
        <v>Area 10</v>
      </c>
      <c r="C35" s="324">
        <f>IFERROR('3. Scrap (LC)'!C35/'Input-FX Rates'!$E$16,0)</f>
        <v>0</v>
      </c>
      <c r="D35" s="322">
        <f>IFERROR('3. Scrap (LC)'!D35/'Input-FX Rates'!$G$16,0)</f>
        <v>0</v>
      </c>
      <c r="E35" s="323">
        <f>IFERROR('3. Scrap (LC)'!E35/'Input-FX Rates'!$G$16,0)</f>
        <v>0</v>
      </c>
      <c r="F35" s="322">
        <f>IFERROR('3. Scrap (LC)'!F35/'Input-FX Rates'!$H$16,0)</f>
        <v>0</v>
      </c>
      <c r="G35" s="322">
        <f>IFERROR('3. Scrap (LC)'!G35/'Input-FX Rates'!$H$16,0)</f>
        <v>0</v>
      </c>
      <c r="H35" s="322">
        <f>IFERROR('3. Scrap (LC)'!H35/'Input-FX Rates'!$H$16,0)</f>
        <v>0</v>
      </c>
      <c r="I35" s="322">
        <f>IFERROR('3. Scrap (LC)'!I35/'Input-FX Rates'!$H$16,0)</f>
        <v>0</v>
      </c>
      <c r="J35" s="322">
        <f>IFERROR('3. Scrap (LC)'!J35/'Input-FX Rates'!$H$16,0)</f>
        <v>0</v>
      </c>
      <c r="K35" s="322">
        <f>IFERROR('3. Scrap (LC)'!K35/'Input-FX Rates'!$H$16,0)</f>
        <v>0</v>
      </c>
      <c r="L35" s="322">
        <f>IFERROR('3. Scrap (LC)'!L35/'Input-FX Rates'!$H$16,0)</f>
        <v>0</v>
      </c>
      <c r="M35" s="322">
        <f>IFERROR('3. Scrap (LC)'!M35/'Input-FX Rates'!$H$16,0)</f>
        <v>0</v>
      </c>
      <c r="N35" s="322">
        <f>IFERROR('3. Scrap (LC)'!N35/'Input-FX Rates'!$H$16,0)</f>
        <v>0</v>
      </c>
      <c r="O35" s="322">
        <f>IFERROR('3. Scrap (LC)'!O35/'Input-FX Rates'!$H$16,0)</f>
        <v>0</v>
      </c>
      <c r="P35" s="322">
        <f>IFERROR('3. Scrap (LC)'!P35/'Input-FX Rates'!$H$16,0)</f>
        <v>0</v>
      </c>
      <c r="Q35" s="323">
        <f>IFERROR('3. Scrap (LC)'!Q35/'Input-FX Rates'!$H$16,0)</f>
        <v>0</v>
      </c>
      <c r="R35" s="324">
        <f>SUM(F35:Q35)</f>
        <v>0</v>
      </c>
      <c r="S35" s="323">
        <f>IFERROR('3. Scrap (LC)'!S19/'Input-FX Rates'!$H$16,0)</f>
        <v>0</v>
      </c>
      <c r="T35" s="322">
        <f t="shared" si="0"/>
        <v>0</v>
      </c>
      <c r="U35" s="321">
        <f>IFERROR(-U34/(E34+V34),0)</f>
        <v>0</v>
      </c>
      <c r="V35" s="320"/>
      <c r="W35" s="319" t="str">
        <f>IF(ISBLANK('3. Scrap (LC)'!W35),"",'3. Scrap (LC)'!W35)</f>
        <v/>
      </c>
      <c r="Y35" s="266"/>
    </row>
    <row r="36" spans="1:25" ht="17.649999999999999" customHeight="1" outlineLevel="1" x14ac:dyDescent="0.2">
      <c r="A36" s="274" t="s">
        <v>378</v>
      </c>
      <c r="B36" s="274" t="str">
        <f>+'3. Scrap (LC)'!B36</f>
        <v>Area 10</v>
      </c>
      <c r="C36" s="271">
        <f>IFERROR(C34/C35,0)</f>
        <v>0</v>
      </c>
      <c r="D36" s="269">
        <f t="shared" ref="D36:Q36" si="18">IFERROR(D34/D35,0)</f>
        <v>0</v>
      </c>
      <c r="E36" s="272">
        <f t="shared" si="18"/>
        <v>0</v>
      </c>
      <c r="F36" s="269">
        <f t="shared" si="18"/>
        <v>0</v>
      </c>
      <c r="G36" s="269">
        <f t="shared" si="18"/>
        <v>0</v>
      </c>
      <c r="H36" s="269">
        <f t="shared" si="18"/>
        <v>0</v>
      </c>
      <c r="I36" s="269">
        <f t="shared" si="18"/>
        <v>0</v>
      </c>
      <c r="J36" s="269">
        <f t="shared" si="18"/>
        <v>0</v>
      </c>
      <c r="K36" s="269">
        <f t="shared" si="18"/>
        <v>0</v>
      </c>
      <c r="L36" s="269">
        <f t="shared" si="18"/>
        <v>0</v>
      </c>
      <c r="M36" s="269">
        <f t="shared" si="18"/>
        <v>0</v>
      </c>
      <c r="N36" s="269">
        <f t="shared" si="18"/>
        <v>0</v>
      </c>
      <c r="O36" s="269">
        <f t="shared" si="18"/>
        <v>0</v>
      </c>
      <c r="P36" s="269">
        <f t="shared" si="18"/>
        <v>0</v>
      </c>
      <c r="Q36" s="272">
        <f t="shared" si="18"/>
        <v>0</v>
      </c>
      <c r="R36" s="271">
        <f>IFERROR(R34/R35,0)</f>
        <v>0</v>
      </c>
      <c r="S36" s="272">
        <f>+'3. Scrap (LC)'!S36</f>
        <v>0</v>
      </c>
      <c r="T36" s="269">
        <f t="shared" si="0"/>
        <v>0</v>
      </c>
      <c r="U36" s="333"/>
      <c r="V36" s="270"/>
      <c r="W36" s="316"/>
      <c r="Y36" s="266"/>
    </row>
    <row r="37" spans="1:25" ht="17.649999999999999" customHeight="1" outlineLevel="1" x14ac:dyDescent="0.2">
      <c r="A37" s="282" t="s">
        <v>379</v>
      </c>
      <c r="B37" s="282" t="str">
        <f>+'3. Scrap (LC)'!B37</f>
        <v>All Other</v>
      </c>
      <c r="C37" s="324">
        <f>IFERROR('3. Scrap (LC)'!C37/'Input-FX Rates'!$E$16,0)</f>
        <v>0</v>
      </c>
      <c r="D37" s="322">
        <f>IFERROR('3. Scrap (LC)'!D37/'Input-FX Rates'!$G$16,0)</f>
        <v>0</v>
      </c>
      <c r="E37" s="323">
        <f>IFERROR('3. Scrap (LC)'!E37/'Input-FX Rates'!$G$16,0)</f>
        <v>0</v>
      </c>
      <c r="F37" s="322">
        <f>IFERROR('3. Scrap (LC)'!F37/'Input-FX Rates'!$H$16,0)</f>
        <v>1.5198553416572897E-9</v>
      </c>
      <c r="G37" s="322">
        <f>IFERROR('3. Scrap (LC)'!G37/'Input-FX Rates'!$H$16,0)</f>
        <v>7.3795670624380797E-8</v>
      </c>
      <c r="H37" s="322">
        <f>IFERROR('3. Scrap (LC)'!H37/'Input-FX Rates'!$H$16,0)</f>
        <v>-1.9466035908031887E-7</v>
      </c>
      <c r="I37" s="322">
        <f>IFERROR('3. Scrap (LC)'!I37/'Input-FX Rates'!$H$16,0)</f>
        <v>7.3795670624380797E-8</v>
      </c>
      <c r="J37" s="322">
        <f>IFERROR('3. Scrap (LC)'!J37/'Input-FX Rates'!$H$16,0)</f>
        <v>-3.180932799295988E-7</v>
      </c>
      <c r="K37" s="322">
        <f>IFERROR('3. Scrap (LC)'!K37/'Input-FX Rates'!$H$16,0)</f>
        <v>-1.8887532923113685E-8</v>
      </c>
      <c r="L37" s="322">
        <f>IFERROR('3. Scrap (LC)'!L37/'Input-FX Rates'!$H$16,0)</f>
        <v>2.5157625024239053E-7</v>
      </c>
      <c r="M37" s="322">
        <f>IFERROR('3. Scrap (LC)'!M37/'Input-FX Rates'!$H$16,0)</f>
        <v>6.9605895736583925E-8</v>
      </c>
      <c r="N37" s="322">
        <f>IFERROR('3. Scrap (LC)'!N37/'Input-FX Rates'!$H$16,0)</f>
        <v>3.1102432519125207E-8</v>
      </c>
      <c r="O37" s="322">
        <f>IFERROR('3. Scrap (LC)'!O37/'Input-FX Rates'!$H$16,0)</f>
        <v>-2.0994066603477755E-7</v>
      </c>
      <c r="P37" s="322">
        <f>IFERROR('3. Scrap (LC)'!P37/'Input-FX Rates'!$H$16,0)</f>
        <v>-2.7880778737920173E-7</v>
      </c>
      <c r="Q37" s="323">
        <f>IFERROR('3. Scrap (LC)'!Q37/'Input-FX Rates'!$H$16,0)</f>
        <v>5.1899387033009935E-7</v>
      </c>
      <c r="R37" s="324">
        <f>SUM(F37:Q37)</f>
        <v>2.0071607179119569E-14</v>
      </c>
      <c r="S37" s="323">
        <f>IFERROR('3. Scrap (LC)'!S19/'Input-FX Rates'!$H$16,0)</f>
        <v>0</v>
      </c>
      <c r="T37" s="322">
        <f t="shared" si="0"/>
        <v>2.0071607179119569E-14</v>
      </c>
      <c r="U37" s="328">
        <f>R37-E39*R38</f>
        <v>2.0071607179119569E-14</v>
      </c>
      <c r="V37" s="327">
        <f>IFERROR(R38/E38*E37-E37,0)</f>
        <v>0</v>
      </c>
      <c r="W37" s="319" t="str">
        <f>IF(ISBLANK('3. Scrap (LC)'!W37),"",'3. Scrap (LC)'!W37)</f>
        <v/>
      </c>
      <c r="Y37" s="266"/>
    </row>
    <row r="38" spans="1:25" ht="17.649999999999999" customHeight="1" outlineLevel="1" x14ac:dyDescent="0.2">
      <c r="A38" s="282" t="s">
        <v>381</v>
      </c>
      <c r="B38" s="282" t="str">
        <f>+'3. Scrap (LC)'!B38</f>
        <v>All Other</v>
      </c>
      <c r="C38" s="324">
        <f>IFERROR('3. Scrap (LC)'!C38/'Input-FX Rates'!$E$16,0)</f>
        <v>0</v>
      </c>
      <c r="D38" s="322">
        <f>IFERROR('3. Scrap (LC)'!D38/'Input-FX Rates'!$G$16,0)</f>
        <v>0</v>
      </c>
      <c r="E38" s="323">
        <f>IFERROR('3. Scrap (LC)'!E38/'Input-FX Rates'!$G$16,0)</f>
        <v>0</v>
      </c>
      <c r="F38" s="322">
        <f>IFERROR('3. Scrap (LC)'!F38/'Input-FX Rates'!$H$16,0)</f>
        <v>72.363712068965569</v>
      </c>
      <c r="G38" s="322">
        <f>IFERROR('3. Scrap (LC)'!G38/'Input-FX Rates'!$H$16,0)</f>
        <v>72.363712068965569</v>
      </c>
      <c r="H38" s="322">
        <f>IFERROR('3. Scrap (LC)'!H38/'Input-FX Rates'!$H$16,0)</f>
        <v>72.363712413793209</v>
      </c>
      <c r="I38" s="322">
        <f>IFERROR('3. Scrap (LC)'!I38/'Input-FX Rates'!$H$16,0)</f>
        <v>72.363712068965569</v>
      </c>
      <c r="J38" s="322">
        <f>IFERROR('3. Scrap (LC)'!J38/'Input-FX Rates'!$H$16,0)</f>
        <v>72.363712068965569</v>
      </c>
      <c r="K38" s="322">
        <f>IFERROR('3. Scrap (LC)'!K38/'Input-FX Rates'!$H$16,0)</f>
        <v>72.363712068965725</v>
      </c>
      <c r="L38" s="322">
        <f>IFERROR('3. Scrap (LC)'!L38/'Input-FX Rates'!$H$16,0)</f>
        <v>72.363712413793365</v>
      </c>
      <c r="M38" s="322">
        <f>IFERROR('3. Scrap (LC)'!M38/'Input-FX Rates'!$H$16,0)</f>
        <v>72.363712068965398</v>
      </c>
      <c r="N38" s="322">
        <f>IFERROR('3. Scrap (LC)'!N38/'Input-FX Rates'!$H$16,0)</f>
        <v>72.363712068965398</v>
      </c>
      <c r="O38" s="322">
        <f>IFERROR('3. Scrap (LC)'!O38/'Input-FX Rates'!$H$16,0)</f>
        <v>72.363712413793209</v>
      </c>
      <c r="P38" s="322">
        <f>IFERROR('3. Scrap (LC)'!P38/'Input-FX Rates'!$H$16,0)</f>
        <v>72.363712068965398</v>
      </c>
      <c r="Q38" s="323">
        <f>IFERROR('3. Scrap (LC)'!Q38/'Input-FX Rates'!$H$16,0)</f>
        <v>72.363714137931424</v>
      </c>
      <c r="R38" s="324">
        <f>SUM(F38:Q38)</f>
        <v>868.3645479310353</v>
      </c>
      <c r="S38" s="323">
        <f>IFERROR('3. Scrap (LC)'!S19/'Input-FX Rates'!$H$16,0)</f>
        <v>0</v>
      </c>
      <c r="T38" s="322">
        <f t="shared" si="0"/>
        <v>868.3645479310353</v>
      </c>
      <c r="U38" s="321">
        <f>IFERROR(-U37/(E37+V37),0)</f>
        <v>0</v>
      </c>
      <c r="V38" s="320"/>
      <c r="W38" s="319" t="str">
        <f>IF(ISBLANK('3. Scrap (LC)'!W38),"",'3. Scrap (LC)'!W38)</f>
        <v/>
      </c>
      <c r="Y38" s="266"/>
    </row>
    <row r="39" spans="1:25" ht="17.649999999999999" customHeight="1" outlineLevel="1" x14ac:dyDescent="0.2">
      <c r="A39" s="274" t="s">
        <v>382</v>
      </c>
      <c r="B39" s="274" t="str">
        <f>+'3. Scrap (LC)'!B39</f>
        <v>All Other</v>
      </c>
      <c r="C39" s="271">
        <f>IFERROR(C37/C38,0)</f>
        <v>0</v>
      </c>
      <c r="D39" s="269">
        <f t="shared" ref="D39:Q39" si="19">IFERROR(D37/D38,0)</f>
        <v>0</v>
      </c>
      <c r="E39" s="272">
        <f t="shared" si="19"/>
        <v>0</v>
      </c>
      <c r="F39" s="269">
        <f t="shared" si="19"/>
        <v>2.1003004105273174E-11</v>
      </c>
      <c r="G39" s="269">
        <f t="shared" si="19"/>
        <v>1.0197883512947831E-9</v>
      </c>
      <c r="H39" s="269">
        <f t="shared" si="19"/>
        <v>-2.6900272607243235E-9</v>
      </c>
      <c r="I39" s="269">
        <f t="shared" si="19"/>
        <v>1.0197883512947831E-9</v>
      </c>
      <c r="J39" s="269">
        <f t="shared" si="19"/>
        <v>-4.395756807313076E-9</v>
      </c>
      <c r="K39" s="269">
        <f t="shared" si="19"/>
        <v>-2.6100834773529938E-10</v>
      </c>
      <c r="L39" s="269">
        <f t="shared" si="19"/>
        <v>3.4765525682791968E-9</v>
      </c>
      <c r="M39" s="269">
        <f t="shared" si="19"/>
        <v>9.6188951266412145E-10</v>
      </c>
      <c r="N39" s="269">
        <f t="shared" si="19"/>
        <v>4.2980703490560842E-10</v>
      </c>
      <c r="O39" s="269">
        <f t="shared" si="19"/>
        <v>-2.9011870595345642E-9</v>
      </c>
      <c r="P39" s="269">
        <f t="shared" si="19"/>
        <v>-3.8528674028425629E-9</v>
      </c>
      <c r="Q39" s="272">
        <f t="shared" si="19"/>
        <v>7.1720181379973484E-9</v>
      </c>
      <c r="R39" s="271">
        <f t="shared" ref="R39" si="20">IFERROR(R37/R38,0)</f>
        <v>2.3114263735135393E-17</v>
      </c>
      <c r="S39" s="272">
        <f>+'3. Scrap (LC)'!S39</f>
        <v>0</v>
      </c>
      <c r="T39" s="269">
        <f t="shared" si="0"/>
        <v>2.3114263735135393E-17</v>
      </c>
      <c r="U39" s="333"/>
      <c r="V39" s="270"/>
      <c r="W39" s="316"/>
      <c r="Y39" s="266"/>
    </row>
    <row r="40" spans="1:25" ht="17.649999999999999" customHeight="1" x14ac:dyDescent="0.2">
      <c r="A40" s="213" t="s">
        <v>383</v>
      </c>
      <c r="B40" s="214"/>
      <c r="C40" s="265">
        <f>IFERROR('3. Scrap (LC)'!C40/'Input-FX Rates'!$E$16,0)</f>
        <v>-24.391813677951223</v>
      </c>
      <c r="D40" s="78">
        <f>IFERROR('3. Scrap (LC)'!D40/'Input-FX Rates'!$G$16,0)</f>
        <v>0</v>
      </c>
      <c r="E40" s="80">
        <f>IFERROR('3. Scrap (LC)'!E40/'Input-FX Rates'!$G$16,0)</f>
        <v>-133.48466196864479</v>
      </c>
      <c r="F40" s="78">
        <f>IFERROR('3. Scrap (LC)'!F40/'Input-FX Rates'!$H$16,0)</f>
        <v>-4.7349993103448274</v>
      </c>
      <c r="G40" s="78">
        <f>IFERROR('3. Scrap (LC)'!G40/'Input-FX Rates'!$H$16,0)</f>
        <v>-4.7350358620689654</v>
      </c>
      <c r="H40" s="78">
        <f>IFERROR('3. Scrap (LC)'!H40/'Input-FX Rates'!$H$16,0)</f>
        <v>-4.6079586206896552</v>
      </c>
      <c r="I40" s="78">
        <f>IFERROR('3. Scrap (LC)'!I40/'Input-FX Rates'!$H$16,0)</f>
        <v>-4.7350358620689654</v>
      </c>
      <c r="J40" s="78">
        <f>IFERROR('3. Scrap (LC)'!J40/'Input-FX Rates'!$H$16,0)</f>
        <v>-4.8622324137931034</v>
      </c>
      <c r="K40" s="78">
        <f>IFERROR('3. Scrap (LC)'!K40/'Input-FX Rates'!$H$16,0)</f>
        <v>-4.5171579310344825</v>
      </c>
      <c r="L40" s="78">
        <f>IFERROR('3. Scrap (LC)'!L40/'Input-FX Rates'!$H$16,0)</f>
        <v>-4.9043758620689655</v>
      </c>
      <c r="M40" s="78">
        <f>IFERROR('3. Scrap (LC)'!M40/'Input-FX Rates'!$H$16,0)</f>
        <v>-4.7750475862068971</v>
      </c>
      <c r="N40" s="78">
        <f>IFERROR('3. Scrap (LC)'!N40/'Input-FX Rates'!$H$16,0)</f>
        <v>-4.2587772413793106</v>
      </c>
      <c r="O40" s="78">
        <f>IFERROR('3. Scrap (LC)'!O40/'Input-FX Rates'!$H$16,0)</f>
        <v>-4.904124827586207</v>
      </c>
      <c r="P40" s="78">
        <f>IFERROR('3. Scrap (LC)'!P40/'Input-FX Rates'!$H$16,0)</f>
        <v>-4.7749627586206893</v>
      </c>
      <c r="Q40" s="80">
        <f>IFERROR('3. Scrap (LC)'!Q40/'Input-FX Rates'!$H$16,0)</f>
        <v>-4.1296606896551724</v>
      </c>
      <c r="R40" s="265">
        <f>IFERROR('3. Scrap (LC)'!R40/'Input-FX Rates'!$H$16,0)</f>
        <v>-55.939368965517225</v>
      </c>
      <c r="S40" s="80">
        <f>IFERROR('3. Scrap (LC)'!S40/'Input-FX Rates'!$H$16,0)</f>
        <v>0</v>
      </c>
      <c r="T40" s="78">
        <f t="shared" si="0"/>
        <v>77.545293003127568</v>
      </c>
      <c r="U40" s="78">
        <f>R40-E42*R41</f>
        <v>69.380867324090786</v>
      </c>
      <c r="V40" s="264">
        <f>IFERROR(R41/E41*E40-E40,0)</f>
        <v>8.164425679036782</v>
      </c>
      <c r="W40" s="213" t="str">
        <f>IF(ISBLANK('3. Scrap (LC)'!W40),"",'3. Scrap (LC)'!W40)</f>
        <v/>
      </c>
      <c r="Y40" s="266"/>
    </row>
    <row r="41" spans="1:25" ht="17.649999999999999" customHeight="1" x14ac:dyDescent="0.2">
      <c r="A41" s="213" t="s">
        <v>384</v>
      </c>
      <c r="B41" s="214"/>
      <c r="C41" s="265">
        <f>IFERROR('3. Scrap (LC)'!C41/'Input-FX Rates'!$E$16,0)</f>
        <v>7249.997525078973</v>
      </c>
      <c r="D41" s="78">
        <f>IFERROR('3. Scrap (LC)'!D41/'Input-FX Rates'!$G$16,0)</f>
        <v>0</v>
      </c>
      <c r="E41" s="80">
        <f>IFERROR('3. Scrap (LC)'!E41/'Input-FX Rates'!$G$16,0)</f>
        <v>15111.540802308424</v>
      </c>
      <c r="F41" s="78">
        <f>IFERROR('3. Scrap (LC)'!F41/'Input-FX Rates'!$H$16,0)</f>
        <v>1199.7445020689654</v>
      </c>
      <c r="G41" s="78">
        <f>IFERROR('3. Scrap (LC)'!G41/'Input-FX Rates'!$H$16,0)</f>
        <v>1199.7532220689654</v>
      </c>
      <c r="H41" s="78">
        <f>IFERROR('3. Scrap (LC)'!H41/'Input-FX Rates'!$H$16,0)</f>
        <v>1169.4966724137932</v>
      </c>
      <c r="I41" s="78">
        <f>IFERROR('3. Scrap (LC)'!I41/'Input-FX Rates'!$H$16,0)</f>
        <v>1199.7532220689654</v>
      </c>
      <c r="J41" s="78">
        <f>IFERROR('3. Scrap (LC)'!J41/'Input-FX Rates'!$H$16,0)</f>
        <v>1230.0380220689656</v>
      </c>
      <c r="K41" s="78">
        <f>IFERROR('3. Scrap (LC)'!K41/'Input-FX Rates'!$H$16,0)</f>
        <v>1147.8775020689654</v>
      </c>
      <c r="L41" s="78">
        <f>IFERROR('3. Scrap (LC)'!L41/'Input-FX Rates'!$H$16,0)</f>
        <v>1240.072312413793</v>
      </c>
      <c r="M41" s="78">
        <f>IFERROR('3. Scrap (LC)'!M41/'Input-FX Rates'!$H$16,0)</f>
        <v>1209.2798220689656</v>
      </c>
      <c r="N41" s="78">
        <f>IFERROR('3. Scrap (LC)'!N41/'Input-FX Rates'!$H$16,0)</f>
        <v>1086.3583020689655</v>
      </c>
      <c r="O41" s="78">
        <f>IFERROR('3. Scrap (LC)'!O41/'Input-FX Rates'!$H$16,0)</f>
        <v>1240.012432413793</v>
      </c>
      <c r="P41" s="78">
        <f>IFERROR('3. Scrap (LC)'!P41/'Input-FX Rates'!$H$16,0)</f>
        <v>1209.2595420689654</v>
      </c>
      <c r="Q41" s="80">
        <f>IFERROR('3. Scrap (LC)'!Q41/'Input-FX Rates'!$H$16,0)</f>
        <v>1055.6163841379309</v>
      </c>
      <c r="R41" s="265">
        <f>IFERROR('3. Scrap (LC)'!R41/'Input-FX Rates'!$H$16,0)</f>
        <v>14187.261937931033</v>
      </c>
      <c r="S41" s="80">
        <f>IFERROR('3. Scrap (LC)'!S41/'Input-FX Rates'!$H$16,0)</f>
        <v>0</v>
      </c>
      <c r="T41" s="78">
        <f t="shared" si="0"/>
        <v>-924.27886437739107</v>
      </c>
      <c r="U41" s="78">
        <f>U7+U10+U13+U16+U19+U22+U25+U28+U31+U34+U37</f>
        <v>61.733313489819174</v>
      </c>
      <c r="V41" s="264">
        <f>V7+V10+V13+V16+V19+V22+V25+V28+V31+V34+V37</f>
        <v>15.811979513308385</v>
      </c>
      <c r="W41" s="213" t="str">
        <f>IF(ISBLANK('3. Scrap (LC)'!W41),"",'3. Scrap (LC)'!W41)</f>
        <v/>
      </c>
      <c r="Y41" s="266"/>
    </row>
    <row r="42" spans="1:25" ht="17.649999999999999" customHeight="1" x14ac:dyDescent="0.2">
      <c r="A42" s="213" t="s">
        <v>385</v>
      </c>
      <c r="B42" s="214"/>
      <c r="C42" s="262">
        <f t="shared" ref="C42" si="21">IFERROR(C40/C41,0)</f>
        <v>-3.3643892420067451E-3</v>
      </c>
      <c r="D42" s="261">
        <f t="shared" ref="D42:S42" si="22">IFERROR(D40/D41,0)</f>
        <v>0</v>
      </c>
      <c r="E42" s="263">
        <f t="shared" si="22"/>
        <v>-8.8332926281252406E-3</v>
      </c>
      <c r="F42" s="261">
        <f t="shared" si="22"/>
        <v>-3.9466730642893529E-3</v>
      </c>
      <c r="G42" s="261">
        <f t="shared" si="22"/>
        <v>-3.9466748452681227E-3</v>
      </c>
      <c r="H42" s="261">
        <f t="shared" si="22"/>
        <v>-3.9401211900663364E-3</v>
      </c>
      <c r="I42" s="261">
        <f t="shared" si="22"/>
        <v>-3.9466748452681227E-3</v>
      </c>
      <c r="J42" s="261">
        <f t="shared" si="22"/>
        <v>-3.9529122893409941E-3</v>
      </c>
      <c r="K42" s="261">
        <f t="shared" si="22"/>
        <v>-3.9352264705011077E-3</v>
      </c>
      <c r="L42" s="261">
        <f t="shared" si="22"/>
        <v>-3.9549111878182559E-3</v>
      </c>
      <c r="M42" s="261">
        <f t="shared" si="22"/>
        <v>-3.9486705219617686E-3</v>
      </c>
      <c r="N42" s="261">
        <f t="shared" si="22"/>
        <v>-3.9202326095069042E-3</v>
      </c>
      <c r="O42" s="261">
        <f t="shared" si="22"/>
        <v>-3.9548997247067091E-3</v>
      </c>
      <c r="P42" s="261">
        <f t="shared" si="22"/>
        <v>-3.9486665951389017E-3</v>
      </c>
      <c r="Q42" s="263">
        <f t="shared" si="22"/>
        <v>-3.9120846850322997E-3</v>
      </c>
      <c r="R42" s="262">
        <f t="shared" si="22"/>
        <v>-3.9429291719748861E-3</v>
      </c>
      <c r="S42" s="263">
        <f t="shared" si="22"/>
        <v>0</v>
      </c>
      <c r="T42" s="261">
        <f t="shared" si="0"/>
        <v>4.8903634561503545E-3</v>
      </c>
      <c r="U42" s="261">
        <f>IFERROR(-U41/(E40+V41),0)</f>
        <v>0.52461890220995466</v>
      </c>
      <c r="V42" s="260"/>
      <c r="W42" s="213"/>
      <c r="Y42" s="266"/>
    </row>
    <row r="43" spans="1:25" s="242" customFormat="1" ht="17.649999999999999" customHeight="1" x14ac:dyDescent="0.2">
      <c r="A43" s="314"/>
      <c r="B43" s="313"/>
      <c r="C43" s="296"/>
      <c r="D43" s="223"/>
      <c r="E43" s="297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97"/>
      <c r="R43" s="296"/>
      <c r="S43" s="297"/>
      <c r="T43" s="222"/>
      <c r="U43" s="223"/>
      <c r="V43" s="295"/>
      <c r="W43" s="293"/>
      <c r="Y43" s="292"/>
    </row>
    <row r="44" spans="1:25" ht="15.6" customHeight="1" x14ac:dyDescent="0.2">
      <c r="A44" s="213" t="s">
        <v>386</v>
      </c>
      <c r="B44" s="214"/>
      <c r="C44" s="265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5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4"/>
      <c r="W44" s="213" t="str">
        <f>IF(ISBLANK('3. Scrap (LC)'!W44),"",'3. Scrap (LC)'!W44)</f>
        <v/>
      </c>
      <c r="Y44" s="266"/>
    </row>
    <row r="45" spans="1:25" s="242" customFormat="1" ht="15.6" customHeight="1" x14ac:dyDescent="0.2">
      <c r="A45" s="314" t="s">
        <v>387</v>
      </c>
      <c r="B45" s="313" t="str">
        <f>+'3. Scrap (LC)'!B45</f>
        <v>xxx</v>
      </c>
      <c r="C45" s="332">
        <f>IFERROR('3. Scrap (LC)'!C45/'Input-FX Rates'!$E$16,0)</f>
        <v>0</v>
      </c>
      <c r="D45" s="222">
        <f>IFERROR('3. Scrap (LC)'!D45/'Input-FX Rates'!$G$16,0)</f>
        <v>0</v>
      </c>
      <c r="E45" s="331">
        <f>IFERROR('3. Scrap (LC)'!E45/'Input-FX Rates'!$G$16,0)</f>
        <v>0</v>
      </c>
      <c r="F45" s="222">
        <f>IFERROR('3. Scrap (LC)'!F45/'Input-FX Rates'!$H$16,0)</f>
        <v>0</v>
      </c>
      <c r="G45" s="222">
        <f>IFERROR('3. Scrap (LC)'!G45/'Input-FX Rates'!$H$16,0)</f>
        <v>0</v>
      </c>
      <c r="H45" s="222">
        <f>IFERROR('3. Scrap (LC)'!H45/'Input-FX Rates'!$H$16,0)</f>
        <v>0</v>
      </c>
      <c r="I45" s="222">
        <f>IFERROR('3. Scrap (LC)'!I45/'Input-FX Rates'!$H$16,0)</f>
        <v>0</v>
      </c>
      <c r="J45" s="222">
        <f>IFERROR('3. Scrap (LC)'!J45/'Input-FX Rates'!$H$16,0)</f>
        <v>0</v>
      </c>
      <c r="K45" s="222">
        <f>IFERROR('3. Scrap (LC)'!K45/'Input-FX Rates'!$H$16,0)</f>
        <v>0</v>
      </c>
      <c r="L45" s="222">
        <f>IFERROR('3. Scrap (LC)'!L45/'Input-FX Rates'!$H$16,0)</f>
        <v>0</v>
      </c>
      <c r="M45" s="222">
        <f>IFERROR('3. Scrap (LC)'!M45/'Input-FX Rates'!$H$16,0)</f>
        <v>0</v>
      </c>
      <c r="N45" s="222">
        <f>IFERROR('3. Scrap (LC)'!N45/'Input-FX Rates'!$H$16,0)</f>
        <v>0</v>
      </c>
      <c r="O45" s="222">
        <f>IFERROR('3. Scrap (LC)'!O45/'Input-FX Rates'!$H$16,0)</f>
        <v>0</v>
      </c>
      <c r="P45" s="222">
        <f>IFERROR('3. Scrap (LC)'!P45/'Input-FX Rates'!$H$16,0)</f>
        <v>0</v>
      </c>
      <c r="Q45" s="331">
        <f>IFERROR('3. Scrap (LC)'!Q45/'Input-FX Rates'!$H$16,0)</f>
        <v>0</v>
      </c>
      <c r="R45" s="332">
        <f>SUM(F45:Q45)</f>
        <v>0</v>
      </c>
      <c r="S45" s="331">
        <f>IFERROR('3. Scrap (LC)'!S45/'Input-FX Rates'!$H$16,0)</f>
        <v>0</v>
      </c>
      <c r="T45" s="222">
        <f>R45-E45</f>
        <v>0</v>
      </c>
      <c r="U45" s="223"/>
      <c r="V45" s="295"/>
      <c r="W45" s="293" t="str">
        <f>IF(ISBLANK('3. Scrap (LC)'!W45),"",'3. Scrap (LC)'!W45)</f>
        <v/>
      </c>
      <c r="Y45" s="266"/>
    </row>
    <row r="46" spans="1:25" s="242" customFormat="1" ht="15.6" customHeight="1" x14ac:dyDescent="0.2">
      <c r="A46" s="314" t="s">
        <v>389</v>
      </c>
      <c r="B46" s="313" t="str">
        <f>+'3. Scrap (LC)'!B46</f>
        <v>xxx</v>
      </c>
      <c r="C46" s="332">
        <f>IFERROR('3. Scrap (LC)'!C46/'Input-FX Rates'!$E$16,0)</f>
        <v>0</v>
      </c>
      <c r="D46" s="222">
        <f>IFERROR('3. Scrap (LC)'!D46/'Input-FX Rates'!$G$16,0)</f>
        <v>0</v>
      </c>
      <c r="E46" s="331">
        <f>IFERROR('3. Scrap (LC)'!E46/'Input-FX Rates'!$G$16,0)</f>
        <v>0</v>
      </c>
      <c r="F46" s="222">
        <f>IFERROR('3. Scrap (LC)'!F46/'Input-FX Rates'!$H$16,0)</f>
        <v>0</v>
      </c>
      <c r="G46" s="222">
        <f>IFERROR('3. Scrap (LC)'!G46/'Input-FX Rates'!$H$16,0)</f>
        <v>0</v>
      </c>
      <c r="H46" s="222">
        <f>IFERROR('3. Scrap (LC)'!H46/'Input-FX Rates'!$H$16,0)</f>
        <v>0</v>
      </c>
      <c r="I46" s="222">
        <f>IFERROR('3. Scrap (LC)'!I46/'Input-FX Rates'!$H$16,0)</f>
        <v>0</v>
      </c>
      <c r="J46" s="222">
        <f>IFERROR('3. Scrap (LC)'!J46/'Input-FX Rates'!$H$16,0)</f>
        <v>0</v>
      </c>
      <c r="K46" s="222">
        <f>IFERROR('3. Scrap (LC)'!K46/'Input-FX Rates'!$H$16,0)</f>
        <v>0</v>
      </c>
      <c r="L46" s="222">
        <f>IFERROR('3. Scrap (LC)'!L46/'Input-FX Rates'!$H$16,0)</f>
        <v>0</v>
      </c>
      <c r="M46" s="222">
        <f>IFERROR('3. Scrap (LC)'!M46/'Input-FX Rates'!$H$16,0)</f>
        <v>0</v>
      </c>
      <c r="N46" s="222">
        <f>IFERROR('3. Scrap (LC)'!N46/'Input-FX Rates'!$H$16,0)</f>
        <v>0</v>
      </c>
      <c r="O46" s="222">
        <f>IFERROR('3. Scrap (LC)'!O46/'Input-FX Rates'!$H$16,0)</f>
        <v>0</v>
      </c>
      <c r="P46" s="222">
        <f>IFERROR('3. Scrap (LC)'!P46/'Input-FX Rates'!$H$16,0)</f>
        <v>0</v>
      </c>
      <c r="Q46" s="331">
        <f>IFERROR('3. Scrap (LC)'!Q46/'Input-FX Rates'!$H$16,0)</f>
        <v>0</v>
      </c>
      <c r="R46" s="222">
        <f>SUM(F46:Q46)</f>
        <v>0</v>
      </c>
      <c r="S46" s="331">
        <f>IFERROR('3. Scrap (LC)'!S46/'Input-FX Rates'!$H$16,0)</f>
        <v>0</v>
      </c>
      <c r="T46" s="222">
        <f>R46-E46</f>
        <v>0</v>
      </c>
      <c r="U46" s="223"/>
      <c r="V46" s="295"/>
      <c r="W46" s="293" t="str">
        <f>IF(ISBLANK('3. Scrap (LC)'!W46),"",'3. Scrap (LC)'!W46)</f>
        <v/>
      </c>
      <c r="Y46" s="266"/>
    </row>
    <row r="47" spans="1:25" s="242" customFormat="1" ht="15.6" customHeight="1" x14ac:dyDescent="0.2">
      <c r="A47" s="314" t="s">
        <v>307</v>
      </c>
      <c r="B47" s="313" t="str">
        <f>+'3. Scrap (LC)'!B47</f>
        <v>xxx</v>
      </c>
      <c r="C47" s="332">
        <f>IFERROR('3. Scrap (LC)'!C47/'Input-FX Rates'!$E$16,0)</f>
        <v>0</v>
      </c>
      <c r="D47" s="222">
        <f>IFERROR('3. Scrap (LC)'!D47/'Input-FX Rates'!$G$16,0)</f>
        <v>0</v>
      </c>
      <c r="E47" s="331">
        <f>IFERROR('3. Scrap (LC)'!E47/'Input-FX Rates'!$G$16,0)</f>
        <v>0</v>
      </c>
      <c r="F47" s="222">
        <f>IFERROR('3. Scrap (LC)'!F47/'Input-FX Rates'!$H$16,0)</f>
        <v>0</v>
      </c>
      <c r="G47" s="222">
        <f>IFERROR('3. Scrap (LC)'!G47/'Input-FX Rates'!$H$16,0)</f>
        <v>0</v>
      </c>
      <c r="H47" s="222">
        <f>IFERROR('3. Scrap (LC)'!H47/'Input-FX Rates'!$H$16,0)</f>
        <v>0</v>
      </c>
      <c r="I47" s="222">
        <f>IFERROR('3. Scrap (LC)'!I47/'Input-FX Rates'!$H$16,0)</f>
        <v>0</v>
      </c>
      <c r="J47" s="222">
        <f>IFERROR('3. Scrap (LC)'!J47/'Input-FX Rates'!$H$16,0)</f>
        <v>0</v>
      </c>
      <c r="K47" s="222">
        <f>IFERROR('3. Scrap (LC)'!K47/'Input-FX Rates'!$H$16,0)</f>
        <v>0</v>
      </c>
      <c r="L47" s="222">
        <f>IFERROR('3. Scrap (LC)'!L47/'Input-FX Rates'!$H$16,0)</f>
        <v>0</v>
      </c>
      <c r="M47" s="222">
        <f>IFERROR('3. Scrap (LC)'!M47/'Input-FX Rates'!$H$16,0)</f>
        <v>0</v>
      </c>
      <c r="N47" s="222">
        <f>IFERROR('3. Scrap (LC)'!N47/'Input-FX Rates'!$H$16,0)</f>
        <v>0</v>
      </c>
      <c r="O47" s="222">
        <f>IFERROR('3. Scrap (LC)'!O47/'Input-FX Rates'!$H$16,0)</f>
        <v>0</v>
      </c>
      <c r="P47" s="222">
        <f>IFERROR('3. Scrap (LC)'!P47/'Input-FX Rates'!$H$16,0)</f>
        <v>0</v>
      </c>
      <c r="Q47" s="331">
        <f>IFERROR('3. Scrap (LC)'!Q47/'Input-FX Rates'!$H$16,0)</f>
        <v>0</v>
      </c>
      <c r="R47" s="222">
        <f>SUM(F47:Q47)</f>
        <v>0</v>
      </c>
      <c r="S47" s="331">
        <f>IFERROR('3. Scrap (LC)'!S47/'Input-FX Rates'!$H$16,0)</f>
        <v>0</v>
      </c>
      <c r="T47" s="222">
        <f>R47-E47</f>
        <v>0</v>
      </c>
      <c r="U47" s="223"/>
      <c r="V47" s="295"/>
      <c r="W47" s="293" t="str">
        <f>IF(ISBLANK('3. Scrap (LC)'!W47),"",'3. Scrap (LC)'!W47)</f>
        <v/>
      </c>
      <c r="Y47" s="266"/>
    </row>
    <row r="48" spans="1:25" ht="15" customHeight="1" x14ac:dyDescent="0.2">
      <c r="A48" s="314"/>
      <c r="B48" s="330"/>
      <c r="C48" s="314"/>
      <c r="D48" s="314"/>
      <c r="E48" s="330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30"/>
      <c r="R48" s="314"/>
      <c r="S48" s="330"/>
      <c r="T48" s="314"/>
      <c r="U48" s="314"/>
      <c r="V48" s="330"/>
      <c r="W48" s="329" t="str">
        <f>IF(ISBLANK('3. Scrap (LC)'!W48),"",'3. Scrap (LC)'!W48)</f>
        <v/>
      </c>
      <c r="X48" s="314"/>
      <c r="Y48" s="266"/>
    </row>
    <row r="49" spans="1:25" ht="15.6" customHeight="1" x14ac:dyDescent="0.2">
      <c r="A49" s="213" t="s">
        <v>390</v>
      </c>
      <c r="B49" s="214"/>
      <c r="C49" s="265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4"/>
      <c r="W49" s="213" t="str">
        <f>IF(ISBLANK('3. Scrap (LC)'!W49),"",'3. Scrap (LC)'!W49)</f>
        <v/>
      </c>
      <c r="Y49" s="266"/>
    </row>
    <row r="50" spans="1:25" s="242" customFormat="1" ht="15.6" customHeight="1" outlineLevel="1" x14ac:dyDescent="0.2">
      <c r="A50" s="326" t="s">
        <v>337</v>
      </c>
      <c r="B50" s="325" t="str">
        <f>+'3. Scrap (LC)'!B50</f>
        <v>Area 1</v>
      </c>
      <c r="C50" s="324">
        <f>IFERROR('3. Scrap (LC)'!C50/'Input-FX Rates'!$E$16,0)</f>
        <v>0</v>
      </c>
      <c r="D50" s="322">
        <f>IFERROR('3. Scrap (LC)'!D50/'Input-FX Rates'!$G$16,0)</f>
        <v>0</v>
      </c>
      <c r="E50" s="323">
        <f>IFERROR('3. Scrap (LC)'!E50/'Input-FX Rates'!$G$16,0)</f>
        <v>0</v>
      </c>
      <c r="F50" s="322">
        <f>IFERROR('3. Scrap (LC)'!F50/'Input-FX Rates'!$H$16,0)</f>
        <v>0</v>
      </c>
      <c r="G50" s="322">
        <f>IFERROR('3. Scrap (LC)'!G50/'Input-FX Rates'!$H$16,0)</f>
        <v>0</v>
      </c>
      <c r="H50" s="322">
        <f>IFERROR('3. Scrap (LC)'!H50/'Input-FX Rates'!$H$16,0)</f>
        <v>0</v>
      </c>
      <c r="I50" s="322">
        <f>IFERROR('3. Scrap (LC)'!I50/'Input-FX Rates'!$H$16,0)</f>
        <v>0</v>
      </c>
      <c r="J50" s="322">
        <f>IFERROR('3. Scrap (LC)'!J50/'Input-FX Rates'!$H$16,0)</f>
        <v>0</v>
      </c>
      <c r="K50" s="322">
        <f>IFERROR('3. Scrap (LC)'!K50/'Input-FX Rates'!$H$16,0)</f>
        <v>0</v>
      </c>
      <c r="L50" s="322">
        <f>IFERROR('3. Scrap (LC)'!L50/'Input-FX Rates'!$H$16,0)</f>
        <v>0</v>
      </c>
      <c r="M50" s="322">
        <f>IFERROR('3. Scrap (LC)'!M50/'Input-FX Rates'!$H$16,0)</f>
        <v>0</v>
      </c>
      <c r="N50" s="322">
        <f>IFERROR('3. Scrap (LC)'!N50/'Input-FX Rates'!$H$16,0)</f>
        <v>0</v>
      </c>
      <c r="O50" s="322">
        <f>IFERROR('3. Scrap (LC)'!O50/'Input-FX Rates'!$H$16,0)</f>
        <v>0</v>
      </c>
      <c r="P50" s="322">
        <f>IFERROR('3. Scrap (LC)'!P50/'Input-FX Rates'!$H$16,0)</f>
        <v>0</v>
      </c>
      <c r="Q50" s="323">
        <f>IFERROR('3. Scrap (LC)'!Q50/'Input-FX Rates'!$H$16,0)</f>
        <v>0</v>
      </c>
      <c r="R50" s="322">
        <f>SUM(F50:Q50)</f>
        <v>0</v>
      </c>
      <c r="S50" s="323">
        <f>IFERROR('3. Scrap (LC)'!S50/'Input-FX Rates'!$H$16,0)</f>
        <v>0</v>
      </c>
      <c r="T50" s="322">
        <f t="shared" ref="T50:T69" si="24">R50-E50</f>
        <v>0</v>
      </c>
      <c r="U50" s="328"/>
      <c r="V50" s="327"/>
      <c r="W50" s="319" t="str">
        <f>IF(ISBLANK('3. Scrap (LC)'!W50),"",'3. Scrap (LC)'!W50)</f>
        <v/>
      </c>
      <c r="Y50" s="266" t="s">
        <v>392</v>
      </c>
    </row>
    <row r="51" spans="1:25" s="242" customFormat="1" ht="15.6" customHeight="1" outlineLevel="1" x14ac:dyDescent="0.2">
      <c r="A51" s="326" t="s">
        <v>415</v>
      </c>
      <c r="B51" s="325" t="str">
        <f>+'3. Scrap (LC)'!B51</f>
        <v>Area 1</v>
      </c>
      <c r="C51" s="324">
        <f>IFERROR('3. Scrap (LC)'!C51/'Input-FX Rates'!$E$16,0)</f>
        <v>0</v>
      </c>
      <c r="D51" s="322">
        <f>IFERROR('3. Scrap (LC)'!D51/'Input-FX Rates'!$G$16,0)</f>
        <v>0</v>
      </c>
      <c r="E51" s="323">
        <f>IFERROR('3. Scrap (LC)'!E51/'Input-FX Rates'!$G$16,0)</f>
        <v>0</v>
      </c>
      <c r="F51" s="322">
        <f>IFERROR('3. Scrap (LC)'!F51/'Input-FX Rates'!$H$16,0)</f>
        <v>0</v>
      </c>
      <c r="G51" s="322">
        <f>IFERROR('3. Scrap (LC)'!G51/'Input-FX Rates'!$H$16,0)</f>
        <v>0</v>
      </c>
      <c r="H51" s="322">
        <f>IFERROR('3. Scrap (LC)'!H51/'Input-FX Rates'!$H$16,0)</f>
        <v>0</v>
      </c>
      <c r="I51" s="322">
        <f>IFERROR('3. Scrap (LC)'!I51/'Input-FX Rates'!$H$16,0)</f>
        <v>0</v>
      </c>
      <c r="J51" s="322">
        <f>IFERROR('3. Scrap (LC)'!J51/'Input-FX Rates'!$H$16,0)</f>
        <v>0</v>
      </c>
      <c r="K51" s="322">
        <f>IFERROR('3. Scrap (LC)'!K51/'Input-FX Rates'!$H$16,0)</f>
        <v>0</v>
      </c>
      <c r="L51" s="322">
        <f>IFERROR('3. Scrap (LC)'!L51/'Input-FX Rates'!$H$16,0)</f>
        <v>0</v>
      </c>
      <c r="M51" s="322">
        <f>IFERROR('3. Scrap (LC)'!M51/'Input-FX Rates'!$H$16,0)</f>
        <v>0</v>
      </c>
      <c r="N51" s="322">
        <f>IFERROR('3. Scrap (LC)'!N51/'Input-FX Rates'!$H$16,0)</f>
        <v>0</v>
      </c>
      <c r="O51" s="322">
        <f>IFERROR('3. Scrap (LC)'!O51/'Input-FX Rates'!$H$16,0)</f>
        <v>0</v>
      </c>
      <c r="P51" s="322">
        <f>IFERROR('3. Scrap (LC)'!P51/'Input-FX Rates'!$H$16,0)</f>
        <v>0</v>
      </c>
      <c r="Q51" s="323">
        <f>IFERROR('3. Scrap (LC)'!Q51/'Input-FX Rates'!$H$16,0)</f>
        <v>0</v>
      </c>
      <c r="R51" s="322">
        <f>SUM(F51:Q51)</f>
        <v>0</v>
      </c>
      <c r="S51" s="323">
        <f>IFERROR('3. Scrap (LC)'!S51/'Input-FX Rates'!$H$16,0)</f>
        <v>0</v>
      </c>
      <c r="T51" s="322">
        <f t="shared" si="24"/>
        <v>0</v>
      </c>
      <c r="U51" s="328"/>
      <c r="V51" s="327"/>
      <c r="W51" s="319" t="str">
        <f>IF(ISBLANK('3. Scrap (LC)'!W51),"",'3. Scrap (LC)'!W51)</f>
        <v/>
      </c>
      <c r="Y51" s="266" t="s">
        <v>341</v>
      </c>
    </row>
    <row r="52" spans="1:25" s="242" customFormat="1" ht="15.6" customHeight="1" outlineLevel="1" x14ac:dyDescent="0.2">
      <c r="A52" s="326" t="s">
        <v>340</v>
      </c>
      <c r="B52" s="325" t="str">
        <f>+'3. Scrap (LC)'!B52</f>
        <v>Area 1</v>
      </c>
      <c r="C52" s="324">
        <f>IFERROR('3. Scrap (LC)'!C52/'Input-FX Rates'!$E$16,0)</f>
        <v>0</v>
      </c>
      <c r="D52" s="322">
        <f>IFERROR('3. Scrap (LC)'!D52/'Input-FX Rates'!$G$16,0)</f>
        <v>0</v>
      </c>
      <c r="E52" s="323">
        <f>IFERROR('3. Scrap (LC)'!E52/'Input-FX Rates'!$G$16,0)</f>
        <v>0</v>
      </c>
      <c r="F52" s="322">
        <f>IFERROR('3. Scrap (LC)'!F52/'Input-FX Rates'!$H$16,0)</f>
        <v>0</v>
      </c>
      <c r="G52" s="322">
        <f>IFERROR('3. Scrap (LC)'!G52/'Input-FX Rates'!$H$16,0)</f>
        <v>0</v>
      </c>
      <c r="H52" s="322">
        <f>IFERROR('3. Scrap (LC)'!H52/'Input-FX Rates'!$H$16,0)</f>
        <v>0</v>
      </c>
      <c r="I52" s="322">
        <f>IFERROR('3. Scrap (LC)'!I52/'Input-FX Rates'!$H$16,0)</f>
        <v>0</v>
      </c>
      <c r="J52" s="322">
        <f>IFERROR('3. Scrap (LC)'!J52/'Input-FX Rates'!$H$16,0)</f>
        <v>0</v>
      </c>
      <c r="K52" s="322">
        <f>IFERROR('3. Scrap (LC)'!K52/'Input-FX Rates'!$H$16,0)</f>
        <v>0</v>
      </c>
      <c r="L52" s="322">
        <f>IFERROR('3. Scrap (LC)'!L52/'Input-FX Rates'!$H$16,0)</f>
        <v>0</v>
      </c>
      <c r="M52" s="322">
        <f>IFERROR('3. Scrap (LC)'!M52/'Input-FX Rates'!$H$16,0)</f>
        <v>0</v>
      </c>
      <c r="N52" s="322">
        <f>IFERROR('3. Scrap (LC)'!N52/'Input-FX Rates'!$H$16,0)</f>
        <v>0</v>
      </c>
      <c r="O52" s="322">
        <f>IFERROR('3. Scrap (LC)'!O52/'Input-FX Rates'!$H$16,0)</f>
        <v>0</v>
      </c>
      <c r="P52" s="322">
        <f>IFERROR('3. Scrap (LC)'!P52/'Input-FX Rates'!$H$16,0)</f>
        <v>0</v>
      </c>
      <c r="Q52" s="323">
        <f>IFERROR('3. Scrap (LC)'!Q52/'Input-FX Rates'!$H$16,0)</f>
        <v>0</v>
      </c>
      <c r="R52" s="322">
        <f>SUM(F52:Q52)</f>
        <v>0</v>
      </c>
      <c r="S52" s="323">
        <f>IFERROR('3. Scrap (LC)'!S52/'Input-FX Rates'!$H$16,0)</f>
        <v>0</v>
      </c>
      <c r="T52" s="322">
        <f t="shared" si="24"/>
        <v>0</v>
      </c>
      <c r="U52" s="321"/>
      <c r="V52" s="320"/>
      <c r="W52" s="319" t="str">
        <f>IF(ISBLANK('3. Scrap (LC)'!W52),"",'3. Scrap (LC)'!W52)</f>
        <v/>
      </c>
      <c r="Y52" s="266"/>
    </row>
    <row r="53" spans="1:25" ht="15.6" customHeight="1" outlineLevel="1" x14ac:dyDescent="0.2">
      <c r="A53" s="318" t="s">
        <v>342</v>
      </c>
      <c r="B53" s="317" t="str">
        <f>+'3. Scrap (LC)'!B53</f>
        <v>Area 1</v>
      </c>
      <c r="C53" s="271">
        <f t="shared" ref="C53" si="25">IFERROR(C50/C52,0)</f>
        <v>0</v>
      </c>
      <c r="D53" s="269">
        <f t="shared" ref="D53:R53" si="26">IFERROR(D50/D52,0)</f>
        <v>0</v>
      </c>
      <c r="E53" s="272">
        <f t="shared" si="26"/>
        <v>0</v>
      </c>
      <c r="F53" s="269">
        <f t="shared" si="26"/>
        <v>0</v>
      </c>
      <c r="G53" s="269">
        <f t="shared" si="26"/>
        <v>0</v>
      </c>
      <c r="H53" s="269">
        <f t="shared" si="26"/>
        <v>0</v>
      </c>
      <c r="I53" s="269">
        <f t="shared" si="26"/>
        <v>0</v>
      </c>
      <c r="J53" s="269">
        <f t="shared" si="26"/>
        <v>0</v>
      </c>
      <c r="K53" s="269">
        <f t="shared" si="26"/>
        <v>0</v>
      </c>
      <c r="L53" s="269">
        <f t="shared" si="26"/>
        <v>0</v>
      </c>
      <c r="M53" s="269">
        <f t="shared" si="26"/>
        <v>0</v>
      </c>
      <c r="N53" s="269">
        <f t="shared" si="26"/>
        <v>0</v>
      </c>
      <c r="O53" s="269">
        <f t="shared" si="26"/>
        <v>0</v>
      </c>
      <c r="P53" s="269">
        <f t="shared" si="26"/>
        <v>0</v>
      </c>
      <c r="Q53" s="272">
        <f t="shared" si="26"/>
        <v>0</v>
      </c>
      <c r="R53" s="269">
        <f t="shared" si="26"/>
        <v>0</v>
      </c>
      <c r="S53" s="272">
        <f>+'3. Scrap (LC)'!S53</f>
        <v>0</v>
      </c>
      <c r="T53" s="269">
        <f t="shared" si="24"/>
        <v>0</v>
      </c>
      <c r="U53" s="269"/>
      <c r="V53" s="270"/>
      <c r="W53" s="316" t="str">
        <f>IF(ISBLANK('3. Scrap (LC)'!W53),"",'3. Scrap (LC)'!W53)</f>
        <v/>
      </c>
      <c r="Y53" s="266"/>
    </row>
    <row r="54" spans="1:25" ht="15.6" customHeight="1" outlineLevel="1" x14ac:dyDescent="0.2">
      <c r="A54" s="318" t="s">
        <v>394</v>
      </c>
      <c r="B54" s="317" t="str">
        <f>+'3. Scrap (LC)'!B54</f>
        <v>Area 1</v>
      </c>
      <c r="C54" s="271">
        <f t="shared" ref="C54" si="27">IFERROR((C50+C51)/C52,0)</f>
        <v>0</v>
      </c>
      <c r="D54" s="269">
        <f t="shared" ref="D54:R54" si="28">IFERROR((D50+D51)/D52,0)</f>
        <v>0</v>
      </c>
      <c r="E54" s="272">
        <f t="shared" si="28"/>
        <v>0</v>
      </c>
      <c r="F54" s="269">
        <f t="shared" si="28"/>
        <v>0</v>
      </c>
      <c r="G54" s="269">
        <f t="shared" si="28"/>
        <v>0</v>
      </c>
      <c r="H54" s="269">
        <f t="shared" si="28"/>
        <v>0</v>
      </c>
      <c r="I54" s="269">
        <f t="shared" si="28"/>
        <v>0</v>
      </c>
      <c r="J54" s="269">
        <f t="shared" si="28"/>
        <v>0</v>
      </c>
      <c r="K54" s="269">
        <f t="shared" si="28"/>
        <v>0</v>
      </c>
      <c r="L54" s="269">
        <f t="shared" si="28"/>
        <v>0</v>
      </c>
      <c r="M54" s="269">
        <f t="shared" si="28"/>
        <v>0</v>
      </c>
      <c r="N54" s="269">
        <f t="shared" si="28"/>
        <v>0</v>
      </c>
      <c r="O54" s="269">
        <f t="shared" si="28"/>
        <v>0</v>
      </c>
      <c r="P54" s="269">
        <f t="shared" si="28"/>
        <v>0</v>
      </c>
      <c r="Q54" s="272">
        <f t="shared" si="28"/>
        <v>0</v>
      </c>
      <c r="R54" s="269">
        <f t="shared" si="28"/>
        <v>0</v>
      </c>
      <c r="S54" s="272">
        <f>+'3. Scrap (LC)'!S54</f>
        <v>0</v>
      </c>
      <c r="T54" s="269">
        <f t="shared" si="24"/>
        <v>0</v>
      </c>
      <c r="U54" s="269"/>
      <c r="V54" s="270"/>
      <c r="W54" s="316" t="str">
        <f>IF(ISBLANK('3. Scrap (LC)'!W54),"",'3. Scrap (LC)'!W54)</f>
        <v/>
      </c>
      <c r="Y54" s="266"/>
    </row>
    <row r="55" spans="1:25" s="242" customFormat="1" ht="15.6" customHeight="1" outlineLevel="1" x14ac:dyDescent="0.2">
      <c r="A55" s="326" t="s">
        <v>343</v>
      </c>
      <c r="B55" s="325" t="str">
        <f>+'3. Scrap (LC)'!B55</f>
        <v>Area 2</v>
      </c>
      <c r="C55" s="324">
        <f>IFERROR('3. Scrap (LC)'!C55/'Input-FX Rates'!$E$16,0)</f>
        <v>0</v>
      </c>
      <c r="D55" s="322">
        <f>IFERROR('3. Scrap (LC)'!D55/'Input-FX Rates'!$G$16,0)</f>
        <v>0</v>
      </c>
      <c r="E55" s="323">
        <f>IFERROR('3. Scrap (LC)'!E55/'Input-FX Rates'!$G$16,0)</f>
        <v>0</v>
      </c>
      <c r="F55" s="322">
        <f>IFERROR('3. Scrap (LC)'!F55/'Input-FX Rates'!$H$16,0)</f>
        <v>0</v>
      </c>
      <c r="G55" s="322">
        <f>IFERROR('3. Scrap (LC)'!G55/'Input-FX Rates'!$H$16,0)</f>
        <v>0</v>
      </c>
      <c r="H55" s="322">
        <f>IFERROR('3. Scrap (LC)'!H55/'Input-FX Rates'!$H$16,0)</f>
        <v>0</v>
      </c>
      <c r="I55" s="322">
        <f>IFERROR('3. Scrap (LC)'!I55/'Input-FX Rates'!$H$16,0)</f>
        <v>0</v>
      </c>
      <c r="J55" s="322">
        <f>IFERROR('3. Scrap (LC)'!J55/'Input-FX Rates'!$H$16,0)</f>
        <v>0</v>
      </c>
      <c r="K55" s="322">
        <f>IFERROR('3. Scrap (LC)'!K55/'Input-FX Rates'!$H$16,0)</f>
        <v>0</v>
      </c>
      <c r="L55" s="322">
        <f>IFERROR('3. Scrap (LC)'!L55/'Input-FX Rates'!$H$16,0)</f>
        <v>0</v>
      </c>
      <c r="M55" s="322">
        <f>IFERROR('3. Scrap (LC)'!M55/'Input-FX Rates'!$H$16,0)</f>
        <v>0</v>
      </c>
      <c r="N55" s="322">
        <f>IFERROR('3. Scrap (LC)'!N55/'Input-FX Rates'!$H$16,0)</f>
        <v>0</v>
      </c>
      <c r="O55" s="322">
        <f>IFERROR('3. Scrap (LC)'!O55/'Input-FX Rates'!$H$16,0)</f>
        <v>0</v>
      </c>
      <c r="P55" s="322">
        <f>IFERROR('3. Scrap (LC)'!P55/'Input-FX Rates'!$H$16,0)</f>
        <v>0</v>
      </c>
      <c r="Q55" s="323">
        <f>IFERROR('3. Scrap (LC)'!Q55/'Input-FX Rates'!$H$16,0)</f>
        <v>0</v>
      </c>
      <c r="R55" s="322">
        <f>SUM(F55:Q55)</f>
        <v>0</v>
      </c>
      <c r="S55" s="323">
        <f>IFERROR('3. Scrap (LC)'!S55/'Input-FX Rates'!$H$16,0)</f>
        <v>0</v>
      </c>
      <c r="T55" s="322">
        <f t="shared" si="24"/>
        <v>0</v>
      </c>
      <c r="U55" s="328"/>
      <c r="V55" s="327"/>
      <c r="W55" s="319" t="str">
        <f>IF(ISBLANK('3. Scrap (LC)'!W55),"",'3. Scrap (LC)'!W55)</f>
        <v/>
      </c>
      <c r="Y55" s="266"/>
    </row>
    <row r="56" spans="1:25" s="242" customFormat="1" ht="15.6" customHeight="1" outlineLevel="1" x14ac:dyDescent="0.2">
      <c r="A56" s="326" t="s">
        <v>416</v>
      </c>
      <c r="B56" s="325" t="str">
        <f>+'3. Scrap (LC)'!B56</f>
        <v>Area 2</v>
      </c>
      <c r="C56" s="324">
        <f>IFERROR('3. Scrap (LC)'!C56/'Input-FX Rates'!$E$16,0)</f>
        <v>0</v>
      </c>
      <c r="D56" s="322">
        <f>IFERROR('3. Scrap (LC)'!D56/'Input-FX Rates'!$G$16,0)</f>
        <v>0</v>
      </c>
      <c r="E56" s="323">
        <f>IFERROR('3. Scrap (LC)'!E56/'Input-FX Rates'!$G$16,0)</f>
        <v>0</v>
      </c>
      <c r="F56" s="322">
        <f>IFERROR('3. Scrap (LC)'!F56/'Input-FX Rates'!$H$16,0)</f>
        <v>0</v>
      </c>
      <c r="G56" s="322">
        <f>IFERROR('3. Scrap (LC)'!G56/'Input-FX Rates'!$H$16,0)</f>
        <v>0</v>
      </c>
      <c r="H56" s="322">
        <f>IFERROR('3. Scrap (LC)'!H56/'Input-FX Rates'!$H$16,0)</f>
        <v>0</v>
      </c>
      <c r="I56" s="322">
        <f>IFERROR('3. Scrap (LC)'!I56/'Input-FX Rates'!$H$16,0)</f>
        <v>0</v>
      </c>
      <c r="J56" s="322">
        <f>IFERROR('3. Scrap (LC)'!J56/'Input-FX Rates'!$H$16,0)</f>
        <v>0</v>
      </c>
      <c r="K56" s="322">
        <f>IFERROR('3. Scrap (LC)'!K56/'Input-FX Rates'!$H$16,0)</f>
        <v>0</v>
      </c>
      <c r="L56" s="322">
        <f>IFERROR('3. Scrap (LC)'!L56/'Input-FX Rates'!$H$16,0)</f>
        <v>0</v>
      </c>
      <c r="M56" s="322">
        <f>IFERROR('3. Scrap (LC)'!M56/'Input-FX Rates'!$H$16,0)</f>
        <v>0</v>
      </c>
      <c r="N56" s="322">
        <f>IFERROR('3. Scrap (LC)'!N56/'Input-FX Rates'!$H$16,0)</f>
        <v>0</v>
      </c>
      <c r="O56" s="322">
        <f>IFERROR('3. Scrap (LC)'!O56/'Input-FX Rates'!$H$16,0)</f>
        <v>0</v>
      </c>
      <c r="P56" s="322">
        <f>IFERROR('3. Scrap (LC)'!P56/'Input-FX Rates'!$H$16,0)</f>
        <v>0</v>
      </c>
      <c r="Q56" s="323">
        <f>IFERROR('3. Scrap (LC)'!Q56/'Input-FX Rates'!$H$16,0)</f>
        <v>0</v>
      </c>
      <c r="R56" s="322">
        <f>SUM(F56:Q56)</f>
        <v>0</v>
      </c>
      <c r="S56" s="323">
        <f>IFERROR('3. Scrap (LC)'!S56/'Input-FX Rates'!$H$16,0)</f>
        <v>0</v>
      </c>
      <c r="T56" s="322">
        <f t="shared" si="24"/>
        <v>0</v>
      </c>
      <c r="U56" s="328"/>
      <c r="V56" s="327"/>
      <c r="W56" s="319" t="str">
        <f>IF(ISBLANK('3. Scrap (LC)'!W56),"",'3. Scrap (LC)'!W56)</f>
        <v/>
      </c>
      <c r="Y56" s="266"/>
    </row>
    <row r="57" spans="1:25" s="242" customFormat="1" ht="15.6" customHeight="1" outlineLevel="1" x14ac:dyDescent="0.2">
      <c r="A57" s="326" t="s">
        <v>345</v>
      </c>
      <c r="B57" s="325" t="str">
        <f>+'3. Scrap (LC)'!B57</f>
        <v>Area 2</v>
      </c>
      <c r="C57" s="324">
        <f>IFERROR('3. Scrap (LC)'!C57/'Input-FX Rates'!$E$16,0)</f>
        <v>0</v>
      </c>
      <c r="D57" s="322">
        <f>IFERROR('3. Scrap (LC)'!D57/'Input-FX Rates'!$G$16,0)</f>
        <v>0</v>
      </c>
      <c r="E57" s="323">
        <f>IFERROR('3. Scrap (LC)'!E57/'Input-FX Rates'!$G$16,0)</f>
        <v>0</v>
      </c>
      <c r="F57" s="322">
        <f>IFERROR('3. Scrap (LC)'!F57/'Input-FX Rates'!$H$16,0)</f>
        <v>0</v>
      </c>
      <c r="G57" s="322">
        <f>IFERROR('3. Scrap (LC)'!G57/'Input-FX Rates'!$H$16,0)</f>
        <v>0</v>
      </c>
      <c r="H57" s="322">
        <f>IFERROR('3. Scrap (LC)'!H57/'Input-FX Rates'!$H$16,0)</f>
        <v>0</v>
      </c>
      <c r="I57" s="322">
        <f>IFERROR('3. Scrap (LC)'!I57/'Input-FX Rates'!$H$16,0)</f>
        <v>0</v>
      </c>
      <c r="J57" s="322">
        <f>IFERROR('3. Scrap (LC)'!J57/'Input-FX Rates'!$H$16,0)</f>
        <v>0</v>
      </c>
      <c r="K57" s="322">
        <f>IFERROR('3. Scrap (LC)'!K57/'Input-FX Rates'!$H$16,0)</f>
        <v>0</v>
      </c>
      <c r="L57" s="322">
        <f>IFERROR('3. Scrap (LC)'!L57/'Input-FX Rates'!$H$16,0)</f>
        <v>0</v>
      </c>
      <c r="M57" s="322">
        <f>IFERROR('3. Scrap (LC)'!M57/'Input-FX Rates'!$H$16,0)</f>
        <v>0</v>
      </c>
      <c r="N57" s="322">
        <f>IFERROR('3. Scrap (LC)'!N57/'Input-FX Rates'!$H$16,0)</f>
        <v>0</v>
      </c>
      <c r="O57" s="322">
        <f>IFERROR('3. Scrap (LC)'!O57/'Input-FX Rates'!$H$16,0)</f>
        <v>0</v>
      </c>
      <c r="P57" s="322">
        <f>IFERROR('3. Scrap (LC)'!P57/'Input-FX Rates'!$H$16,0)</f>
        <v>0</v>
      </c>
      <c r="Q57" s="323">
        <f>IFERROR('3. Scrap (LC)'!Q57/'Input-FX Rates'!$H$16,0)</f>
        <v>0</v>
      </c>
      <c r="R57" s="322">
        <f>SUM(F57:Q57)</f>
        <v>0</v>
      </c>
      <c r="S57" s="323">
        <f>IFERROR('3. Scrap (LC)'!S57/'Input-FX Rates'!$H$16,0)</f>
        <v>0</v>
      </c>
      <c r="T57" s="322">
        <f t="shared" si="24"/>
        <v>0</v>
      </c>
      <c r="U57" s="321"/>
      <c r="V57" s="320"/>
      <c r="W57" s="319" t="str">
        <f>IF(ISBLANK('3. Scrap (LC)'!W57),"",'3. Scrap (LC)'!W57)</f>
        <v/>
      </c>
      <c r="Y57" s="266"/>
    </row>
    <row r="58" spans="1:25" ht="15.6" customHeight="1" outlineLevel="1" x14ac:dyDescent="0.2">
      <c r="A58" s="318" t="s">
        <v>397</v>
      </c>
      <c r="B58" s="317" t="str">
        <f>+'3. Scrap (LC)'!B58</f>
        <v>Area 2</v>
      </c>
      <c r="C58" s="271">
        <f t="shared" ref="C58" si="29">IFERROR(C55/C57,0)</f>
        <v>0</v>
      </c>
      <c r="D58" s="269">
        <f t="shared" ref="D58:R58" si="30">IFERROR(D55/D57,0)</f>
        <v>0</v>
      </c>
      <c r="E58" s="272">
        <f t="shared" si="30"/>
        <v>0</v>
      </c>
      <c r="F58" s="269">
        <f t="shared" si="30"/>
        <v>0</v>
      </c>
      <c r="G58" s="269">
        <f t="shared" si="30"/>
        <v>0</v>
      </c>
      <c r="H58" s="269">
        <f t="shared" si="30"/>
        <v>0</v>
      </c>
      <c r="I58" s="269">
        <f t="shared" si="30"/>
        <v>0</v>
      </c>
      <c r="J58" s="269">
        <f t="shared" si="30"/>
        <v>0</v>
      </c>
      <c r="K58" s="269">
        <f t="shared" si="30"/>
        <v>0</v>
      </c>
      <c r="L58" s="269">
        <f t="shared" si="30"/>
        <v>0</v>
      </c>
      <c r="M58" s="269">
        <f t="shared" si="30"/>
        <v>0</v>
      </c>
      <c r="N58" s="269">
        <f t="shared" si="30"/>
        <v>0</v>
      </c>
      <c r="O58" s="269">
        <f t="shared" si="30"/>
        <v>0</v>
      </c>
      <c r="P58" s="269">
        <f t="shared" si="30"/>
        <v>0</v>
      </c>
      <c r="Q58" s="272">
        <f t="shared" si="30"/>
        <v>0</v>
      </c>
      <c r="R58" s="269">
        <f t="shared" si="30"/>
        <v>0</v>
      </c>
      <c r="S58" s="272">
        <f>+'3. Scrap (LC)'!S58</f>
        <v>0</v>
      </c>
      <c r="T58" s="269">
        <f t="shared" si="24"/>
        <v>0</v>
      </c>
      <c r="U58" s="269"/>
      <c r="V58" s="270"/>
      <c r="W58" s="316" t="str">
        <f>IF(ISBLANK('3. Scrap (LC)'!W58),"",'3. Scrap (LC)'!W58)</f>
        <v/>
      </c>
      <c r="Y58" s="266"/>
    </row>
    <row r="59" spans="1:25" ht="15.6" customHeight="1" outlineLevel="1" x14ac:dyDescent="0.2">
      <c r="A59" s="318" t="s">
        <v>398</v>
      </c>
      <c r="B59" s="317" t="str">
        <f>+'3. Scrap (LC)'!B59</f>
        <v>Area 2</v>
      </c>
      <c r="C59" s="271">
        <f t="shared" ref="C59" si="31">IFERROR((C55+C56)/C57,0)</f>
        <v>0</v>
      </c>
      <c r="D59" s="269">
        <f t="shared" ref="D59:R59" si="32">IFERROR((D55+D56)/D57,0)</f>
        <v>0</v>
      </c>
      <c r="E59" s="272">
        <f t="shared" si="32"/>
        <v>0</v>
      </c>
      <c r="F59" s="269">
        <f t="shared" si="32"/>
        <v>0</v>
      </c>
      <c r="G59" s="269">
        <f t="shared" si="32"/>
        <v>0</v>
      </c>
      <c r="H59" s="269">
        <f t="shared" si="32"/>
        <v>0</v>
      </c>
      <c r="I59" s="269">
        <f t="shared" si="32"/>
        <v>0</v>
      </c>
      <c r="J59" s="269">
        <f t="shared" si="32"/>
        <v>0</v>
      </c>
      <c r="K59" s="269">
        <f t="shared" si="32"/>
        <v>0</v>
      </c>
      <c r="L59" s="269">
        <f t="shared" si="32"/>
        <v>0</v>
      </c>
      <c r="M59" s="269">
        <f t="shared" si="32"/>
        <v>0</v>
      </c>
      <c r="N59" s="269">
        <f t="shared" si="32"/>
        <v>0</v>
      </c>
      <c r="O59" s="269">
        <f t="shared" si="32"/>
        <v>0</v>
      </c>
      <c r="P59" s="269">
        <f t="shared" si="32"/>
        <v>0</v>
      </c>
      <c r="Q59" s="272">
        <f t="shared" si="32"/>
        <v>0</v>
      </c>
      <c r="R59" s="269">
        <f t="shared" si="32"/>
        <v>0</v>
      </c>
      <c r="S59" s="272">
        <f>+'3. Scrap (LC)'!S59</f>
        <v>0</v>
      </c>
      <c r="T59" s="269">
        <f t="shared" si="24"/>
        <v>0</v>
      </c>
      <c r="U59" s="269"/>
      <c r="V59" s="270"/>
      <c r="W59" s="316" t="str">
        <f>IF(ISBLANK('3. Scrap (LC)'!W59),"",'3. Scrap (LC)'!W59)</f>
        <v/>
      </c>
      <c r="Y59" s="266"/>
    </row>
    <row r="60" spans="1:25" s="242" customFormat="1" ht="15.6" customHeight="1" outlineLevel="1" x14ac:dyDescent="0.2">
      <c r="A60" s="326" t="s">
        <v>347</v>
      </c>
      <c r="B60" s="325" t="str">
        <f>+'3. Scrap (LC)'!B60</f>
        <v>Area 3</v>
      </c>
      <c r="C60" s="324">
        <f>IFERROR('3. Scrap (LC)'!C60/'Input-FX Rates'!$E$16,0)</f>
        <v>0</v>
      </c>
      <c r="D60" s="322">
        <f>IFERROR('3. Scrap (LC)'!D60/'Input-FX Rates'!$G$16,0)</f>
        <v>0</v>
      </c>
      <c r="E60" s="323">
        <f>IFERROR('3. Scrap (LC)'!E60/'Input-FX Rates'!$G$16,0)</f>
        <v>0</v>
      </c>
      <c r="F60" s="322">
        <f>IFERROR('3. Scrap (LC)'!F60/'Input-FX Rates'!$H$16,0)</f>
        <v>0</v>
      </c>
      <c r="G60" s="322">
        <f>IFERROR('3. Scrap (LC)'!G60/'Input-FX Rates'!$H$16,0)</f>
        <v>0</v>
      </c>
      <c r="H60" s="322">
        <f>IFERROR('3. Scrap (LC)'!H60/'Input-FX Rates'!$H$16,0)</f>
        <v>0</v>
      </c>
      <c r="I60" s="322">
        <f>IFERROR('3. Scrap (LC)'!I60/'Input-FX Rates'!$H$16,0)</f>
        <v>0</v>
      </c>
      <c r="J60" s="322">
        <f>IFERROR('3. Scrap (LC)'!J60/'Input-FX Rates'!$H$16,0)</f>
        <v>0</v>
      </c>
      <c r="K60" s="322">
        <f>IFERROR('3. Scrap (LC)'!K60/'Input-FX Rates'!$H$16,0)</f>
        <v>0</v>
      </c>
      <c r="L60" s="322">
        <f>IFERROR('3. Scrap (LC)'!L60/'Input-FX Rates'!$H$16,0)</f>
        <v>0</v>
      </c>
      <c r="M60" s="322">
        <f>IFERROR('3. Scrap (LC)'!M60/'Input-FX Rates'!$H$16,0)</f>
        <v>0</v>
      </c>
      <c r="N60" s="322">
        <f>IFERROR('3. Scrap (LC)'!N60/'Input-FX Rates'!$H$16,0)</f>
        <v>0</v>
      </c>
      <c r="O60" s="322">
        <f>IFERROR('3. Scrap (LC)'!O60/'Input-FX Rates'!$H$16,0)</f>
        <v>0</v>
      </c>
      <c r="P60" s="322">
        <f>IFERROR('3. Scrap (LC)'!P60/'Input-FX Rates'!$H$16,0)</f>
        <v>0</v>
      </c>
      <c r="Q60" s="323">
        <f>IFERROR('3. Scrap (LC)'!Q60/'Input-FX Rates'!$H$16,0)</f>
        <v>0</v>
      </c>
      <c r="R60" s="322">
        <f>SUM(F60:Q60)</f>
        <v>0</v>
      </c>
      <c r="S60" s="323">
        <f>IFERROR('3. Scrap (LC)'!S60/'Input-FX Rates'!$H$16,0)</f>
        <v>0</v>
      </c>
      <c r="T60" s="322">
        <f t="shared" si="24"/>
        <v>0</v>
      </c>
      <c r="U60" s="328"/>
      <c r="V60" s="327"/>
      <c r="W60" s="319" t="str">
        <f>IF(ISBLANK('3. Scrap (LC)'!W60),"",'3. Scrap (LC)'!W60)</f>
        <v/>
      </c>
      <c r="Y60" s="266"/>
    </row>
    <row r="61" spans="1:25" s="242" customFormat="1" ht="15.6" customHeight="1" outlineLevel="1" x14ac:dyDescent="0.2">
      <c r="A61" s="326" t="s">
        <v>417</v>
      </c>
      <c r="B61" s="325" t="str">
        <f>+'3. Scrap (LC)'!B61</f>
        <v>Area 3</v>
      </c>
      <c r="C61" s="324">
        <f>IFERROR('3. Scrap (LC)'!C61/'Input-FX Rates'!$E$16,0)</f>
        <v>0</v>
      </c>
      <c r="D61" s="322">
        <f>IFERROR('3. Scrap (LC)'!D61/'Input-FX Rates'!$G$16,0)</f>
        <v>0</v>
      </c>
      <c r="E61" s="323">
        <f>IFERROR('3. Scrap (LC)'!E61/'Input-FX Rates'!$G$16,0)</f>
        <v>0</v>
      </c>
      <c r="F61" s="322">
        <f>IFERROR('3. Scrap (LC)'!F61/'Input-FX Rates'!$H$16,0)</f>
        <v>0</v>
      </c>
      <c r="G61" s="322">
        <f>IFERROR('3. Scrap (LC)'!G61/'Input-FX Rates'!$H$16,0)</f>
        <v>0</v>
      </c>
      <c r="H61" s="322">
        <f>IFERROR('3. Scrap (LC)'!H61/'Input-FX Rates'!$H$16,0)</f>
        <v>0</v>
      </c>
      <c r="I61" s="322">
        <f>IFERROR('3. Scrap (LC)'!I61/'Input-FX Rates'!$H$16,0)</f>
        <v>0</v>
      </c>
      <c r="J61" s="322">
        <f>IFERROR('3. Scrap (LC)'!J61/'Input-FX Rates'!$H$16,0)</f>
        <v>0</v>
      </c>
      <c r="K61" s="322">
        <f>IFERROR('3. Scrap (LC)'!K61/'Input-FX Rates'!$H$16,0)</f>
        <v>0</v>
      </c>
      <c r="L61" s="322">
        <f>IFERROR('3. Scrap (LC)'!L61/'Input-FX Rates'!$H$16,0)</f>
        <v>0</v>
      </c>
      <c r="M61" s="322">
        <f>IFERROR('3. Scrap (LC)'!M61/'Input-FX Rates'!$H$16,0)</f>
        <v>0</v>
      </c>
      <c r="N61" s="322">
        <f>IFERROR('3. Scrap (LC)'!N61/'Input-FX Rates'!$H$16,0)</f>
        <v>0</v>
      </c>
      <c r="O61" s="322">
        <f>IFERROR('3. Scrap (LC)'!O61/'Input-FX Rates'!$H$16,0)</f>
        <v>0</v>
      </c>
      <c r="P61" s="322">
        <f>IFERROR('3. Scrap (LC)'!P61/'Input-FX Rates'!$H$16,0)</f>
        <v>0</v>
      </c>
      <c r="Q61" s="323">
        <f>IFERROR('3. Scrap (LC)'!Q61/'Input-FX Rates'!$H$16,0)</f>
        <v>0</v>
      </c>
      <c r="R61" s="322">
        <f>SUM(F61:Q61)</f>
        <v>0</v>
      </c>
      <c r="S61" s="323">
        <f>IFERROR('3. Scrap (LC)'!S61/'Input-FX Rates'!$H$16,0)</f>
        <v>0</v>
      </c>
      <c r="T61" s="322">
        <f t="shared" si="24"/>
        <v>0</v>
      </c>
      <c r="U61" s="328"/>
      <c r="V61" s="327"/>
      <c r="W61" s="319" t="str">
        <f>IF(ISBLANK('3. Scrap (LC)'!W61),"",'3. Scrap (LC)'!W61)</f>
        <v/>
      </c>
      <c r="Y61" s="266"/>
    </row>
    <row r="62" spans="1:25" s="242" customFormat="1" ht="15.6" customHeight="1" outlineLevel="1" x14ac:dyDescent="0.2">
      <c r="A62" s="326" t="s">
        <v>349</v>
      </c>
      <c r="B62" s="325" t="str">
        <f>+'3. Scrap (LC)'!B62</f>
        <v>Area 3</v>
      </c>
      <c r="C62" s="324">
        <f>IFERROR('3. Scrap (LC)'!C62/'Input-FX Rates'!$E$16,0)</f>
        <v>0</v>
      </c>
      <c r="D62" s="322">
        <f>IFERROR('3. Scrap (LC)'!D62/'Input-FX Rates'!$G$16,0)</f>
        <v>0</v>
      </c>
      <c r="E62" s="323">
        <f>IFERROR('3. Scrap (LC)'!E62/'Input-FX Rates'!$G$16,0)</f>
        <v>0</v>
      </c>
      <c r="F62" s="322">
        <f>IFERROR('3. Scrap (LC)'!F62/'Input-FX Rates'!$H$16,0)</f>
        <v>0</v>
      </c>
      <c r="G62" s="322">
        <f>IFERROR('3. Scrap (LC)'!G62/'Input-FX Rates'!$H$16,0)</f>
        <v>0</v>
      </c>
      <c r="H62" s="322">
        <f>IFERROR('3. Scrap (LC)'!H62/'Input-FX Rates'!$H$16,0)</f>
        <v>0</v>
      </c>
      <c r="I62" s="322">
        <f>IFERROR('3. Scrap (LC)'!I62/'Input-FX Rates'!$H$16,0)</f>
        <v>0</v>
      </c>
      <c r="J62" s="322">
        <f>IFERROR('3. Scrap (LC)'!J62/'Input-FX Rates'!$H$16,0)</f>
        <v>0</v>
      </c>
      <c r="K62" s="322">
        <f>IFERROR('3. Scrap (LC)'!K62/'Input-FX Rates'!$H$16,0)</f>
        <v>0</v>
      </c>
      <c r="L62" s="322">
        <f>IFERROR('3. Scrap (LC)'!L62/'Input-FX Rates'!$H$16,0)</f>
        <v>0</v>
      </c>
      <c r="M62" s="322">
        <f>IFERROR('3. Scrap (LC)'!M62/'Input-FX Rates'!$H$16,0)</f>
        <v>0</v>
      </c>
      <c r="N62" s="322">
        <f>IFERROR('3. Scrap (LC)'!N62/'Input-FX Rates'!$H$16,0)</f>
        <v>0</v>
      </c>
      <c r="O62" s="322">
        <f>IFERROR('3. Scrap (LC)'!O62/'Input-FX Rates'!$H$16,0)</f>
        <v>0</v>
      </c>
      <c r="P62" s="322">
        <f>IFERROR('3. Scrap (LC)'!P62/'Input-FX Rates'!$H$16,0)</f>
        <v>0</v>
      </c>
      <c r="Q62" s="323">
        <f>IFERROR('3. Scrap (LC)'!Q62/'Input-FX Rates'!$H$16,0)</f>
        <v>0</v>
      </c>
      <c r="R62" s="322">
        <f>SUM(F62:Q62)</f>
        <v>0</v>
      </c>
      <c r="S62" s="323">
        <f>IFERROR('3. Scrap (LC)'!S62/'Input-FX Rates'!$H$16,0)</f>
        <v>0</v>
      </c>
      <c r="T62" s="322">
        <f t="shared" si="24"/>
        <v>0</v>
      </c>
      <c r="U62" s="321"/>
      <c r="V62" s="320"/>
      <c r="W62" s="319" t="str">
        <f>IF(ISBLANK('3. Scrap (LC)'!W62),"",'3. Scrap (LC)'!W62)</f>
        <v/>
      </c>
      <c r="Y62" s="266"/>
    </row>
    <row r="63" spans="1:25" ht="15.6" customHeight="1" outlineLevel="1" x14ac:dyDescent="0.2">
      <c r="A63" s="318" t="s">
        <v>400</v>
      </c>
      <c r="B63" s="317" t="str">
        <f>+'3. Scrap (LC)'!B63</f>
        <v>Area 3</v>
      </c>
      <c r="C63" s="271">
        <f t="shared" ref="C63" si="33">IFERROR(C60/C62,0)</f>
        <v>0</v>
      </c>
      <c r="D63" s="269">
        <f t="shared" ref="D63:R63" si="34">IFERROR(D60/D62,0)</f>
        <v>0</v>
      </c>
      <c r="E63" s="272">
        <f t="shared" si="34"/>
        <v>0</v>
      </c>
      <c r="F63" s="269">
        <f t="shared" si="34"/>
        <v>0</v>
      </c>
      <c r="G63" s="269">
        <f t="shared" si="34"/>
        <v>0</v>
      </c>
      <c r="H63" s="269">
        <f t="shared" si="34"/>
        <v>0</v>
      </c>
      <c r="I63" s="269">
        <f t="shared" si="34"/>
        <v>0</v>
      </c>
      <c r="J63" s="269">
        <f t="shared" si="34"/>
        <v>0</v>
      </c>
      <c r="K63" s="269">
        <f t="shared" si="34"/>
        <v>0</v>
      </c>
      <c r="L63" s="269">
        <f t="shared" si="34"/>
        <v>0</v>
      </c>
      <c r="M63" s="269">
        <f t="shared" si="34"/>
        <v>0</v>
      </c>
      <c r="N63" s="269">
        <f t="shared" si="34"/>
        <v>0</v>
      </c>
      <c r="O63" s="269">
        <f t="shared" si="34"/>
        <v>0</v>
      </c>
      <c r="P63" s="269">
        <f t="shared" si="34"/>
        <v>0</v>
      </c>
      <c r="Q63" s="272">
        <f t="shared" si="34"/>
        <v>0</v>
      </c>
      <c r="R63" s="269">
        <f t="shared" si="34"/>
        <v>0</v>
      </c>
      <c r="S63" s="272">
        <f>+'3. Scrap (LC)'!S63</f>
        <v>0</v>
      </c>
      <c r="T63" s="269">
        <f t="shared" si="24"/>
        <v>0</v>
      </c>
      <c r="U63" s="269"/>
      <c r="V63" s="270"/>
      <c r="W63" s="316" t="str">
        <f>IF(ISBLANK('3. Scrap (LC)'!W63),"",'3. Scrap (LC)'!W63)</f>
        <v/>
      </c>
      <c r="Y63" s="266"/>
    </row>
    <row r="64" spans="1:25" ht="15.6" customHeight="1" outlineLevel="1" x14ac:dyDescent="0.2">
      <c r="A64" s="318" t="s">
        <v>401</v>
      </c>
      <c r="B64" s="317" t="str">
        <f>+'3. Scrap (LC)'!B64</f>
        <v>Area 3</v>
      </c>
      <c r="C64" s="271">
        <f t="shared" ref="C64" si="35">IFERROR((C60+C61)/C62,0)</f>
        <v>0</v>
      </c>
      <c r="D64" s="269">
        <f t="shared" ref="D64:R64" si="36">IFERROR((D60+D61)/D62,0)</f>
        <v>0</v>
      </c>
      <c r="E64" s="272">
        <f t="shared" si="36"/>
        <v>0</v>
      </c>
      <c r="F64" s="269">
        <f t="shared" si="36"/>
        <v>0</v>
      </c>
      <c r="G64" s="269">
        <f t="shared" si="36"/>
        <v>0</v>
      </c>
      <c r="H64" s="269">
        <f t="shared" si="36"/>
        <v>0</v>
      </c>
      <c r="I64" s="269">
        <f t="shared" si="36"/>
        <v>0</v>
      </c>
      <c r="J64" s="269">
        <f t="shared" si="36"/>
        <v>0</v>
      </c>
      <c r="K64" s="269">
        <f t="shared" si="36"/>
        <v>0</v>
      </c>
      <c r="L64" s="269">
        <f t="shared" si="36"/>
        <v>0</v>
      </c>
      <c r="M64" s="269">
        <f t="shared" si="36"/>
        <v>0</v>
      </c>
      <c r="N64" s="269">
        <f t="shared" si="36"/>
        <v>0</v>
      </c>
      <c r="O64" s="269">
        <f t="shared" si="36"/>
        <v>0</v>
      </c>
      <c r="P64" s="269">
        <f t="shared" si="36"/>
        <v>0</v>
      </c>
      <c r="Q64" s="272">
        <f t="shared" si="36"/>
        <v>0</v>
      </c>
      <c r="R64" s="269">
        <f t="shared" si="36"/>
        <v>0</v>
      </c>
      <c r="S64" s="272">
        <f>+'3. Scrap (LC)'!S64</f>
        <v>0</v>
      </c>
      <c r="T64" s="269">
        <f t="shared" si="24"/>
        <v>0</v>
      </c>
      <c r="U64" s="269"/>
      <c r="V64" s="270"/>
      <c r="W64" s="316" t="str">
        <f>IF(ISBLANK('3. Scrap (LC)'!W64),"",'3. Scrap (LC)'!W64)</f>
        <v/>
      </c>
      <c r="Y64" s="266"/>
    </row>
    <row r="65" spans="1:25" s="242" customFormat="1" ht="15.6" customHeight="1" outlineLevel="1" x14ac:dyDescent="0.2">
      <c r="A65" s="326" t="s">
        <v>351</v>
      </c>
      <c r="B65" s="325" t="str">
        <f>+'3. Scrap (LC)'!B65</f>
        <v>All Other</v>
      </c>
      <c r="C65" s="324">
        <f>IFERROR('3. Scrap (LC)'!C65/'Input-FX Rates'!$E$16,0)</f>
        <v>0</v>
      </c>
      <c r="D65" s="322">
        <f>IFERROR('3. Scrap (LC)'!D65/'Input-FX Rates'!$G$16,0)</f>
        <v>0</v>
      </c>
      <c r="E65" s="323">
        <f>IFERROR('3. Scrap (LC)'!E65/'Input-FX Rates'!$G$16,0)</f>
        <v>0</v>
      </c>
      <c r="F65" s="322">
        <f>IFERROR('3. Scrap (LC)'!F65/'Input-FX Rates'!$H$16,0)</f>
        <v>0</v>
      </c>
      <c r="G65" s="322">
        <f>IFERROR('3. Scrap (LC)'!G65/'Input-FX Rates'!$H$16,0)</f>
        <v>0</v>
      </c>
      <c r="H65" s="322">
        <f>IFERROR('3. Scrap (LC)'!H65/'Input-FX Rates'!$H$16,0)</f>
        <v>0</v>
      </c>
      <c r="I65" s="322">
        <f>IFERROR('3. Scrap (LC)'!I65/'Input-FX Rates'!$H$16,0)</f>
        <v>0</v>
      </c>
      <c r="J65" s="322">
        <f>IFERROR('3. Scrap (LC)'!J65/'Input-FX Rates'!$H$16,0)</f>
        <v>0</v>
      </c>
      <c r="K65" s="322">
        <f>IFERROR('3. Scrap (LC)'!K65/'Input-FX Rates'!$H$16,0)</f>
        <v>0</v>
      </c>
      <c r="L65" s="322">
        <f>IFERROR('3. Scrap (LC)'!L65/'Input-FX Rates'!$H$16,0)</f>
        <v>0</v>
      </c>
      <c r="M65" s="322">
        <f>IFERROR('3. Scrap (LC)'!M65/'Input-FX Rates'!$H$16,0)</f>
        <v>0</v>
      </c>
      <c r="N65" s="322">
        <f>IFERROR('3. Scrap (LC)'!N65/'Input-FX Rates'!$H$16,0)</f>
        <v>0</v>
      </c>
      <c r="O65" s="322">
        <f>IFERROR('3. Scrap (LC)'!O65/'Input-FX Rates'!$H$16,0)</f>
        <v>0</v>
      </c>
      <c r="P65" s="322">
        <f>IFERROR('3. Scrap (LC)'!P65/'Input-FX Rates'!$H$16,0)</f>
        <v>0</v>
      </c>
      <c r="Q65" s="323">
        <f>IFERROR('3. Scrap (LC)'!Q65/'Input-FX Rates'!$H$16,0)</f>
        <v>0</v>
      </c>
      <c r="R65" s="322">
        <f>SUM(F65:Q65)</f>
        <v>0</v>
      </c>
      <c r="S65" s="323">
        <f>IFERROR('3. Scrap (LC)'!S65/'Input-FX Rates'!$H$16,0)</f>
        <v>0</v>
      </c>
      <c r="T65" s="322">
        <f t="shared" si="24"/>
        <v>0</v>
      </c>
      <c r="U65" s="328"/>
      <c r="V65" s="327"/>
      <c r="W65" s="319" t="str">
        <f>IF(ISBLANK('3. Scrap (LC)'!W65),"",'3. Scrap (LC)'!W65)</f>
        <v/>
      </c>
      <c r="Y65" s="266"/>
    </row>
    <row r="66" spans="1:25" s="242" customFormat="1" ht="15.6" customHeight="1" outlineLevel="1" x14ac:dyDescent="0.2">
      <c r="A66" s="326" t="s">
        <v>418</v>
      </c>
      <c r="B66" s="325" t="str">
        <f>+'3. Scrap (LC)'!B66</f>
        <v>All Other</v>
      </c>
      <c r="C66" s="324">
        <f>IFERROR('3. Scrap (LC)'!C66/'Input-FX Rates'!$E$16,0)</f>
        <v>-4.1027080661538182</v>
      </c>
      <c r="D66" s="322">
        <f>IFERROR('3. Scrap (LC)'!D66/'Input-FX Rates'!$G$16,0)</f>
        <v>0</v>
      </c>
      <c r="E66" s="323">
        <f>IFERROR('3. Scrap (LC)'!E66/'Input-FX Rates'!$G$16,0)</f>
        <v>-24.309462695682225</v>
      </c>
      <c r="F66" s="322">
        <f>IFERROR('3. Scrap (LC)'!F66/'Input-FX Rates'!$H$16,0)</f>
        <v>0</v>
      </c>
      <c r="G66" s="322">
        <f>IFERROR('3. Scrap (LC)'!G66/'Input-FX Rates'!$H$16,0)</f>
        <v>0</v>
      </c>
      <c r="H66" s="322">
        <f>IFERROR('3. Scrap (LC)'!H66/'Input-FX Rates'!$H$16,0)</f>
        <v>0</v>
      </c>
      <c r="I66" s="322">
        <f>IFERROR('3. Scrap (LC)'!I66/'Input-FX Rates'!$H$16,0)</f>
        <v>0</v>
      </c>
      <c r="J66" s="322">
        <f>IFERROR('3. Scrap (LC)'!J66/'Input-FX Rates'!$H$16,0)</f>
        <v>0</v>
      </c>
      <c r="K66" s="322">
        <f>IFERROR('3. Scrap (LC)'!K66/'Input-FX Rates'!$H$16,0)</f>
        <v>0</v>
      </c>
      <c r="L66" s="322">
        <f>IFERROR('3. Scrap (LC)'!L66/'Input-FX Rates'!$H$16,0)</f>
        <v>0</v>
      </c>
      <c r="M66" s="322">
        <f>IFERROR('3. Scrap (LC)'!M66/'Input-FX Rates'!$H$16,0)</f>
        <v>0</v>
      </c>
      <c r="N66" s="322">
        <f>IFERROR('3. Scrap (LC)'!N66/'Input-FX Rates'!$H$16,0)</f>
        <v>0</v>
      </c>
      <c r="O66" s="322">
        <f>IFERROR('3. Scrap (LC)'!O66/'Input-FX Rates'!$H$16,0)</f>
        <v>0</v>
      </c>
      <c r="P66" s="322">
        <f>IFERROR('3. Scrap (LC)'!P66/'Input-FX Rates'!$H$16,0)</f>
        <v>0</v>
      </c>
      <c r="Q66" s="323">
        <f>IFERROR('3. Scrap (LC)'!Q66/'Input-FX Rates'!$H$16,0)</f>
        <v>0</v>
      </c>
      <c r="R66" s="322">
        <f>SUM(F66:Q66)</f>
        <v>0</v>
      </c>
      <c r="S66" s="323">
        <f>IFERROR('3. Scrap (LC)'!S66/'Input-FX Rates'!$H$16,0)</f>
        <v>0</v>
      </c>
      <c r="T66" s="322">
        <f t="shared" si="24"/>
        <v>24.309462695682225</v>
      </c>
      <c r="U66" s="328"/>
      <c r="V66" s="327"/>
      <c r="W66" s="319" t="str">
        <f>IF(ISBLANK('3. Scrap (LC)'!W66),"",'3. Scrap (LC)'!W66)</f>
        <v/>
      </c>
      <c r="Y66" s="266"/>
    </row>
    <row r="67" spans="1:25" s="242" customFormat="1" ht="15.6" customHeight="1" outlineLevel="1" x14ac:dyDescent="0.2">
      <c r="A67" s="326" t="s">
        <v>353</v>
      </c>
      <c r="B67" s="325" t="str">
        <f>+'3. Scrap (LC)'!B67</f>
        <v>All Other</v>
      </c>
      <c r="C67" s="324">
        <f>IFERROR('3. Scrap (LC)'!C67/'Input-FX Rates'!$E$16,0)</f>
        <v>0</v>
      </c>
      <c r="D67" s="322">
        <f>IFERROR('3. Scrap (LC)'!D67/'Input-FX Rates'!$G$16,0)</f>
        <v>0</v>
      </c>
      <c r="E67" s="323">
        <f>IFERROR('3. Scrap (LC)'!E67/'Input-FX Rates'!$G$16,0)</f>
        <v>0</v>
      </c>
      <c r="F67" s="322">
        <f>IFERROR('3. Scrap (LC)'!F67/'Input-FX Rates'!$H$16,0)</f>
        <v>0</v>
      </c>
      <c r="G67" s="322">
        <f>IFERROR('3. Scrap (LC)'!G67/'Input-FX Rates'!$H$16,0)</f>
        <v>0</v>
      </c>
      <c r="H67" s="322">
        <f>IFERROR('3. Scrap (LC)'!H67/'Input-FX Rates'!$H$16,0)</f>
        <v>0</v>
      </c>
      <c r="I67" s="322">
        <f>IFERROR('3. Scrap (LC)'!I67/'Input-FX Rates'!$H$16,0)</f>
        <v>0</v>
      </c>
      <c r="J67" s="322">
        <f>IFERROR('3. Scrap (LC)'!J67/'Input-FX Rates'!$H$16,0)</f>
        <v>0</v>
      </c>
      <c r="K67" s="322">
        <f>IFERROR('3. Scrap (LC)'!K67/'Input-FX Rates'!$H$16,0)</f>
        <v>0</v>
      </c>
      <c r="L67" s="322">
        <f>IFERROR('3. Scrap (LC)'!L67/'Input-FX Rates'!$H$16,0)</f>
        <v>0</v>
      </c>
      <c r="M67" s="322">
        <f>IFERROR('3. Scrap (LC)'!M67/'Input-FX Rates'!$H$16,0)</f>
        <v>0</v>
      </c>
      <c r="N67" s="322">
        <f>IFERROR('3. Scrap (LC)'!N67/'Input-FX Rates'!$H$16,0)</f>
        <v>0</v>
      </c>
      <c r="O67" s="322">
        <f>IFERROR('3. Scrap (LC)'!O67/'Input-FX Rates'!$H$16,0)</f>
        <v>0</v>
      </c>
      <c r="P67" s="322">
        <f>IFERROR('3. Scrap (LC)'!P67/'Input-FX Rates'!$H$16,0)</f>
        <v>0</v>
      </c>
      <c r="Q67" s="323">
        <f>IFERROR('3. Scrap (LC)'!Q67/'Input-FX Rates'!$H$16,0)</f>
        <v>0</v>
      </c>
      <c r="R67" s="322">
        <f>SUM(F67:Q67)</f>
        <v>0</v>
      </c>
      <c r="S67" s="323">
        <f>IFERROR('3. Scrap (LC)'!S67/'Input-FX Rates'!$H$16,0)</f>
        <v>0</v>
      </c>
      <c r="T67" s="322">
        <f t="shared" si="24"/>
        <v>0</v>
      </c>
      <c r="U67" s="321"/>
      <c r="V67" s="320"/>
      <c r="W67" s="319" t="str">
        <f>IF(ISBLANK('3. Scrap (LC)'!W67),"",'3. Scrap (LC)'!W67)</f>
        <v/>
      </c>
      <c r="Y67" s="266"/>
    </row>
    <row r="68" spans="1:25" ht="15.6" customHeight="1" outlineLevel="1" x14ac:dyDescent="0.2">
      <c r="A68" s="318" t="s">
        <v>403</v>
      </c>
      <c r="B68" s="317" t="str">
        <f>+'3. Scrap (LC)'!B68</f>
        <v>All Other</v>
      </c>
      <c r="C68" s="271">
        <f t="shared" ref="C68" si="37">IFERROR(C65/C67,0)</f>
        <v>0</v>
      </c>
      <c r="D68" s="269">
        <f t="shared" ref="D68:R68" si="38">IFERROR(D65/D67,0)</f>
        <v>0</v>
      </c>
      <c r="E68" s="272">
        <f t="shared" si="38"/>
        <v>0</v>
      </c>
      <c r="F68" s="269">
        <f t="shared" si="38"/>
        <v>0</v>
      </c>
      <c r="G68" s="269">
        <f t="shared" si="38"/>
        <v>0</v>
      </c>
      <c r="H68" s="269">
        <f t="shared" si="38"/>
        <v>0</v>
      </c>
      <c r="I68" s="269">
        <f t="shared" si="38"/>
        <v>0</v>
      </c>
      <c r="J68" s="269">
        <f t="shared" si="38"/>
        <v>0</v>
      </c>
      <c r="K68" s="269">
        <f t="shared" si="38"/>
        <v>0</v>
      </c>
      <c r="L68" s="269">
        <f t="shared" si="38"/>
        <v>0</v>
      </c>
      <c r="M68" s="269">
        <f t="shared" si="38"/>
        <v>0</v>
      </c>
      <c r="N68" s="269">
        <f t="shared" si="38"/>
        <v>0</v>
      </c>
      <c r="O68" s="269">
        <f t="shared" si="38"/>
        <v>0</v>
      </c>
      <c r="P68" s="269">
        <f t="shared" si="38"/>
        <v>0</v>
      </c>
      <c r="Q68" s="272">
        <f t="shared" si="38"/>
        <v>0</v>
      </c>
      <c r="R68" s="269">
        <f t="shared" si="38"/>
        <v>0</v>
      </c>
      <c r="S68" s="272">
        <f>+'3. Scrap (LC)'!S68</f>
        <v>0</v>
      </c>
      <c r="T68" s="269">
        <f t="shared" si="24"/>
        <v>0</v>
      </c>
      <c r="U68" s="269"/>
      <c r="V68" s="270"/>
      <c r="W68" s="316" t="str">
        <f>IF(ISBLANK('3. Scrap (LC)'!W68),"",'3. Scrap (LC)'!W68)</f>
        <v/>
      </c>
      <c r="Y68" s="266"/>
    </row>
    <row r="69" spans="1:25" ht="15.6" customHeight="1" outlineLevel="1" x14ac:dyDescent="0.2">
      <c r="A69" s="318" t="s">
        <v>404</v>
      </c>
      <c r="B69" s="317" t="str">
        <f>+'3. Scrap (LC)'!B69</f>
        <v>All Other</v>
      </c>
      <c r="C69" s="271">
        <f t="shared" ref="C69" si="39">IFERROR((C65+C66)/C67,0)</f>
        <v>0</v>
      </c>
      <c r="D69" s="269">
        <f t="shared" ref="D69:R69" si="40">IFERROR((D65+D66)/D67,0)</f>
        <v>0</v>
      </c>
      <c r="E69" s="272">
        <f t="shared" si="40"/>
        <v>0</v>
      </c>
      <c r="F69" s="269">
        <f t="shared" si="40"/>
        <v>0</v>
      </c>
      <c r="G69" s="269">
        <f t="shared" si="40"/>
        <v>0</v>
      </c>
      <c r="H69" s="269">
        <f t="shared" si="40"/>
        <v>0</v>
      </c>
      <c r="I69" s="269">
        <f t="shared" si="40"/>
        <v>0</v>
      </c>
      <c r="J69" s="269">
        <f t="shared" si="40"/>
        <v>0</v>
      </c>
      <c r="K69" s="269">
        <f t="shared" si="40"/>
        <v>0</v>
      </c>
      <c r="L69" s="269">
        <f t="shared" si="40"/>
        <v>0</v>
      </c>
      <c r="M69" s="269">
        <f t="shared" si="40"/>
        <v>0</v>
      </c>
      <c r="N69" s="269">
        <f t="shared" si="40"/>
        <v>0</v>
      </c>
      <c r="O69" s="269">
        <f t="shared" si="40"/>
        <v>0</v>
      </c>
      <c r="P69" s="269">
        <f t="shared" si="40"/>
        <v>0</v>
      </c>
      <c r="Q69" s="272">
        <f t="shared" si="40"/>
        <v>0</v>
      </c>
      <c r="R69" s="269">
        <f t="shared" si="40"/>
        <v>0</v>
      </c>
      <c r="S69" s="272">
        <f>+'3. Scrap (LC)'!S69</f>
        <v>0</v>
      </c>
      <c r="T69" s="269">
        <f t="shared" si="24"/>
        <v>0</v>
      </c>
      <c r="U69" s="269"/>
      <c r="V69" s="270"/>
      <c r="W69" s="316" t="str">
        <f>IF(ISBLANK('3. Scrap (LC)'!W69),"",'3. Scrap (LC)'!W69)</f>
        <v/>
      </c>
      <c r="Y69" s="266"/>
    </row>
    <row r="70" spans="1:25" ht="15.6" customHeight="1" x14ac:dyDescent="0.25">
      <c r="A70" s="213" t="s">
        <v>405</v>
      </c>
      <c r="B70" s="214"/>
      <c r="C70" s="265">
        <f>IFERROR('3. Scrap (LC)'!C70/'Input-FX Rates'!$E$16,0)</f>
        <v>-4.1027080661538182</v>
      </c>
      <c r="D70" s="78">
        <f>IFERROR('3. Scrap (LC)'!D70/'Input-FX Rates'!$G$16,0)</f>
        <v>0</v>
      </c>
      <c r="E70" s="80">
        <f>IFERROR('3. Scrap (LC)'!E70/'Input-FX Rates'!$G$16,0)</f>
        <v>-24.309462695682225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0</v>
      </c>
      <c r="N70" s="78">
        <f>IFERROR('3. Scrap (LC)'!N70/'Input-FX Rates'!$H$16,0)</f>
        <v>0</v>
      </c>
      <c r="O70" s="78">
        <f>IFERROR('3. Scrap (LC)'!O70/'Input-FX Rates'!$H$16,0)</f>
        <v>0</v>
      </c>
      <c r="P70" s="78">
        <f>IFERROR('3. Scrap (LC)'!P70/'Input-FX Rates'!$H$16,0)</f>
        <v>0</v>
      </c>
      <c r="Q70" s="80">
        <f>IFERROR('3. Scrap (LC)'!Q70/'Input-FX Rates'!$H$16,0)</f>
        <v>0</v>
      </c>
      <c r="R70" s="78">
        <f>IFERROR('3. Scrap (LC)'!R70/'Input-FX Rates'!$H$16,0)</f>
        <v>0</v>
      </c>
      <c r="S70" s="80">
        <f>IFERROR('3. Scrap (LC)'!S70/'Input-FX Rates'!$H$16,0)</f>
        <v>0</v>
      </c>
      <c r="T70" s="78">
        <f t="shared" ref="T70" si="41">+T51+T56+T61+T66</f>
        <v>24.309462695682225</v>
      </c>
      <c r="U70" s="258"/>
      <c r="V70" s="315"/>
      <c r="W70" s="213" t="str">
        <f>IF(ISBLANK('3. Scrap (LC)'!W70),"",'3. Scrap (LC)'!W70)</f>
        <v/>
      </c>
      <c r="X70" s="249"/>
      <c r="Y70" s="219"/>
    </row>
    <row r="71" spans="1:25" ht="15.6" customHeight="1" x14ac:dyDescent="0.25">
      <c r="A71" s="213" t="s">
        <v>384</v>
      </c>
      <c r="B71" s="214"/>
      <c r="C71" s="265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8"/>
      <c r="V71" s="315"/>
      <c r="W71" s="213" t="str">
        <f>IF(ISBLANK('3. Scrap (LC)'!W71),"",'3. Scrap (LC)'!W71)</f>
        <v/>
      </c>
      <c r="X71" s="249"/>
      <c r="Y71" s="219"/>
    </row>
    <row r="72" spans="1:25" ht="15.6" customHeight="1" x14ac:dyDescent="0.25">
      <c r="A72" s="213" t="s">
        <v>406</v>
      </c>
      <c r="B72" s="214"/>
      <c r="C72" s="262">
        <f>+IFERROR(C70/C71,0)</f>
        <v>0</v>
      </c>
      <c r="D72" s="261">
        <f t="shared" ref="D72:S72" si="43">+IFERROR(D70/D71,0)</f>
        <v>0</v>
      </c>
      <c r="E72" s="263">
        <f t="shared" si="43"/>
        <v>0</v>
      </c>
      <c r="F72" s="261">
        <f t="shared" si="43"/>
        <v>0</v>
      </c>
      <c r="G72" s="261">
        <f t="shared" si="43"/>
        <v>0</v>
      </c>
      <c r="H72" s="261">
        <f t="shared" si="43"/>
        <v>0</v>
      </c>
      <c r="I72" s="261">
        <f t="shared" si="43"/>
        <v>0</v>
      </c>
      <c r="J72" s="261">
        <f t="shared" si="43"/>
        <v>0</v>
      </c>
      <c r="K72" s="261">
        <f t="shared" si="43"/>
        <v>0</v>
      </c>
      <c r="L72" s="261">
        <f t="shared" si="43"/>
        <v>0</v>
      </c>
      <c r="M72" s="261">
        <f t="shared" si="43"/>
        <v>0</v>
      </c>
      <c r="N72" s="261">
        <f t="shared" si="43"/>
        <v>0</v>
      </c>
      <c r="O72" s="261">
        <f t="shared" si="43"/>
        <v>0</v>
      </c>
      <c r="P72" s="261">
        <f t="shared" si="43"/>
        <v>0</v>
      </c>
      <c r="Q72" s="263">
        <f t="shared" si="43"/>
        <v>0</v>
      </c>
      <c r="R72" s="261">
        <f t="shared" si="43"/>
        <v>0</v>
      </c>
      <c r="S72" s="263">
        <f t="shared" si="43"/>
        <v>0</v>
      </c>
      <c r="T72" s="261">
        <f>+R72-E72</f>
        <v>0</v>
      </c>
      <c r="U72" s="258"/>
      <c r="V72" s="315"/>
      <c r="W72" s="213" t="str">
        <f>IF(ISBLANK('3. Scrap (LC)'!W72),"",'3. Scrap (LC)'!W72)</f>
        <v/>
      </c>
      <c r="X72" s="249"/>
      <c r="Y72" s="219"/>
    </row>
    <row r="73" spans="1:25" ht="15.6" customHeight="1" x14ac:dyDescent="0.25">
      <c r="A73" s="314"/>
      <c r="B73" s="313"/>
      <c r="C73" s="254"/>
      <c r="D73" s="221"/>
      <c r="E73" s="255"/>
      <c r="F73" s="221"/>
      <c r="G73" s="221"/>
      <c r="H73" s="221"/>
      <c r="I73" s="221"/>
      <c r="J73" s="221"/>
      <c r="K73" s="221"/>
      <c r="L73" s="221"/>
      <c r="M73" s="221"/>
      <c r="N73" s="221"/>
      <c r="O73" s="221"/>
      <c r="P73" s="221"/>
      <c r="Q73" s="255"/>
      <c r="R73" s="221"/>
      <c r="S73" s="255"/>
      <c r="T73" s="221"/>
      <c r="U73" s="221"/>
      <c r="V73" s="253"/>
      <c r="W73" s="250" t="str">
        <f>IF(ISBLANK('3. Scrap (LC)'!W73),"",'3. Scrap (LC)'!W73)</f>
        <v/>
      </c>
      <c r="X73" s="249"/>
      <c r="Y73" s="219"/>
    </row>
    <row r="74" spans="1:25" ht="15.6" customHeight="1" x14ac:dyDescent="0.25">
      <c r="A74" s="314"/>
      <c r="B74" s="313"/>
      <c r="C74" s="254"/>
      <c r="D74" s="221"/>
      <c r="E74" s="255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55"/>
      <c r="R74" s="221"/>
      <c r="S74" s="255"/>
      <c r="T74" s="290"/>
      <c r="U74" s="221"/>
      <c r="V74" s="253"/>
      <c r="W74" s="312" t="str">
        <f>IF(ISBLANK('3. Scrap (LC)'!W74),"",'3. Scrap (LC)'!W74)</f>
        <v/>
      </c>
      <c r="Y74" s="241"/>
    </row>
    <row r="75" spans="1:25" s="225" customFormat="1" ht="18" customHeight="1" x14ac:dyDescent="0.25">
      <c r="A75" s="311" t="s">
        <v>383</v>
      </c>
      <c r="B75" s="309"/>
      <c r="C75" s="237">
        <f>IFERROR('3. Scrap (LC)'!C75/'Input-FX Rates'!$E$16,0)</f>
        <v>-24.391813677951223</v>
      </c>
      <c r="D75" s="236">
        <f t="shared" ref="D75:T75" si="44">D7+D10+D13+D16+D19+D22+D50+D55+D60+D65+D45+D46+D47+D25+D28+D31+D34+D37</f>
        <v>0</v>
      </c>
      <c r="E75" s="238">
        <f t="shared" si="44"/>
        <v>-133.48466196864482</v>
      </c>
      <c r="F75" s="236">
        <f>IFERROR('3. Scrap (LC)'!F75/'Input-FX Rates'!$H$16,0)</f>
        <v>-4.7349993103448274</v>
      </c>
      <c r="G75" s="236">
        <f>IFERROR('3. Scrap (LC)'!G75/'Input-FX Rates'!$H$16,0)</f>
        <v>-4.7350358620689654</v>
      </c>
      <c r="H75" s="236">
        <f>IFERROR('3. Scrap (LC)'!H75/'Input-FX Rates'!$H$16,0)</f>
        <v>-4.6079586206896552</v>
      </c>
      <c r="I75" s="236">
        <f>IFERROR('3. Scrap (LC)'!I75/'Input-FX Rates'!$H$16,0)</f>
        <v>-4.7350358620689654</v>
      </c>
      <c r="J75" s="236">
        <f>IFERROR('3. Scrap (LC)'!J75/'Input-FX Rates'!$H$16,0)</f>
        <v>-4.8622324137931034</v>
      </c>
      <c r="K75" s="236">
        <f>IFERROR('3. Scrap (LC)'!K75/'Input-FX Rates'!$H$16,0)</f>
        <v>-4.5171579310344825</v>
      </c>
      <c r="L75" s="236">
        <f>IFERROR('3. Scrap (LC)'!L75/'Input-FX Rates'!$H$16,0)</f>
        <v>-4.9043758620689655</v>
      </c>
      <c r="M75" s="236">
        <f>IFERROR('3. Scrap (LC)'!M75/'Input-FX Rates'!$H$16,0)</f>
        <v>-4.7750475862068971</v>
      </c>
      <c r="N75" s="236">
        <f>IFERROR('3. Scrap (LC)'!N75/'Input-FX Rates'!$H$16,0)</f>
        <v>-4.2587772413793106</v>
      </c>
      <c r="O75" s="236">
        <f>IFERROR('3. Scrap (LC)'!O75/'Input-FX Rates'!$H$16,0)</f>
        <v>-4.904124827586207</v>
      </c>
      <c r="P75" s="236">
        <f>IFERROR('3. Scrap (LC)'!P75/'Input-FX Rates'!$H$16,0)</f>
        <v>-4.7749627586206893</v>
      </c>
      <c r="Q75" s="238">
        <f>IFERROR('3. Scrap (LC)'!Q75/'Input-FX Rates'!$H$16,0)</f>
        <v>-4.1296606896551724</v>
      </c>
      <c r="R75" s="236">
        <f>IFERROR('3. Scrap (LC)'!R75/'Input-FX Rates'!$H$16,0)</f>
        <v>-55.939368965517225</v>
      </c>
      <c r="S75" s="238">
        <f>IFERROR('3. Scrap (LC)'!S75/'Input-FX Rates'!$H$16,0)</f>
        <v>0</v>
      </c>
      <c r="T75" s="236">
        <f t="shared" si="44"/>
        <v>77.545293003127554</v>
      </c>
      <c r="U75" s="227"/>
      <c r="V75" s="235"/>
      <c r="W75" s="239" t="str">
        <f>IF(ISBLANK('3. Scrap (LC)'!W75),"",'3. Scrap (LC)'!W75)</f>
        <v/>
      </c>
      <c r="Y75" s="224"/>
    </row>
    <row r="76" spans="1:25" s="225" customFormat="1" ht="18" customHeight="1" x14ac:dyDescent="0.25">
      <c r="A76" s="310" t="s">
        <v>384</v>
      </c>
      <c r="B76" s="309"/>
      <c r="C76" s="237">
        <f>IFERROR('3. Scrap (LC)'!C76/'Input-FX Rates'!$E$16,0)</f>
        <v>7249.997525078973</v>
      </c>
      <c r="D76" s="236">
        <f>D8+D11+D14+D17+D20+D23+D52+D57+D62+D67+D26+D29+D32+D35+D38</f>
        <v>0</v>
      </c>
      <c r="E76" s="238">
        <f t="shared" ref="E76" si="45">E8+E11+E14+E17+E20+E23+E52+E57+E62+E67+E26+E29+E32+E35+E38</f>
        <v>15111.540802308424</v>
      </c>
      <c r="F76" s="236">
        <f>IFERROR('3. Scrap (LC)'!F76/'Input-FX Rates'!$H$16,0)</f>
        <v>1199.7445020689654</v>
      </c>
      <c r="G76" s="236">
        <f>IFERROR('3. Scrap (LC)'!G76/'Input-FX Rates'!$H$16,0)</f>
        <v>1199.7532220689654</v>
      </c>
      <c r="H76" s="236">
        <f>IFERROR('3. Scrap (LC)'!H76/'Input-FX Rates'!$H$16,0)</f>
        <v>1169.4966724137932</v>
      </c>
      <c r="I76" s="236">
        <f>IFERROR('3. Scrap (LC)'!I76/'Input-FX Rates'!$H$16,0)</f>
        <v>1199.7532220689654</v>
      </c>
      <c r="J76" s="236">
        <f>IFERROR('3. Scrap (LC)'!J76/'Input-FX Rates'!$H$16,0)</f>
        <v>1230.0380220689656</v>
      </c>
      <c r="K76" s="236">
        <f>IFERROR('3. Scrap (LC)'!K76/'Input-FX Rates'!$H$16,0)</f>
        <v>1147.8775020689654</v>
      </c>
      <c r="L76" s="236">
        <f>IFERROR('3. Scrap (LC)'!L76/'Input-FX Rates'!$H$16,0)</f>
        <v>1240.072312413793</v>
      </c>
      <c r="M76" s="236">
        <f>IFERROR('3. Scrap (LC)'!M76/'Input-FX Rates'!$H$16,0)</f>
        <v>1209.2798220689656</v>
      </c>
      <c r="N76" s="236">
        <f>IFERROR('3. Scrap (LC)'!N76/'Input-FX Rates'!$H$16,0)</f>
        <v>1086.3583020689655</v>
      </c>
      <c r="O76" s="236">
        <f>IFERROR('3. Scrap (LC)'!O76/'Input-FX Rates'!$H$16,0)</f>
        <v>1240.012432413793</v>
      </c>
      <c r="P76" s="236">
        <f>IFERROR('3. Scrap (LC)'!P76/'Input-FX Rates'!$H$16,0)</f>
        <v>1209.2595420689654</v>
      </c>
      <c r="Q76" s="238">
        <f>IFERROR('3. Scrap (LC)'!Q76/'Input-FX Rates'!$H$16,0)</f>
        <v>1055.6163841379309</v>
      </c>
      <c r="R76" s="236">
        <f>IFERROR('3. Scrap (LC)'!R76/'Input-FX Rates'!$H$16,0)</f>
        <v>14187.261937931033</v>
      </c>
      <c r="S76" s="238">
        <f>IFERROR('3. Scrap (LC)'!S76/'Input-FX Rates'!$H$16,0)</f>
        <v>0</v>
      </c>
      <c r="T76" s="236">
        <f>T8+T11+T14+T17+T20+T23+T52+T57+T62+T67+T26+T29+T32+T35+T38</f>
        <v>-924.27886437739198</v>
      </c>
      <c r="U76" s="227"/>
      <c r="V76" s="229"/>
      <c r="W76" s="226" t="str">
        <f>IF(ISBLANK('3. Scrap (LC)'!W76),"",'3. Scrap (LC)'!W76)</f>
        <v/>
      </c>
      <c r="Y76" s="224"/>
    </row>
    <row r="77" spans="1:25" s="225" customFormat="1" ht="18" customHeight="1" x14ac:dyDescent="0.25">
      <c r="A77" s="310" t="s">
        <v>385</v>
      </c>
      <c r="B77" s="309"/>
      <c r="C77" s="230">
        <f t="shared" ref="C77" si="46">IFERROR(C75/C76,0)</f>
        <v>-3.3643892420067451E-3</v>
      </c>
      <c r="D77" s="227">
        <f t="shared" ref="D77:S77" si="47">IFERROR(D75/D76,0)</f>
        <v>0</v>
      </c>
      <c r="E77" s="231">
        <f t="shared" si="47"/>
        <v>-8.8332926281252423E-3</v>
      </c>
      <c r="F77" s="227">
        <f t="shared" si="47"/>
        <v>-3.9466730642893529E-3</v>
      </c>
      <c r="G77" s="227">
        <f t="shared" si="47"/>
        <v>-3.9466748452681227E-3</v>
      </c>
      <c r="H77" s="227">
        <f t="shared" si="47"/>
        <v>-3.9401211900663364E-3</v>
      </c>
      <c r="I77" s="227">
        <f t="shared" si="47"/>
        <v>-3.9466748452681227E-3</v>
      </c>
      <c r="J77" s="227">
        <f t="shared" si="47"/>
        <v>-3.9529122893409941E-3</v>
      </c>
      <c r="K77" s="227">
        <f t="shared" si="47"/>
        <v>-3.9352264705011077E-3</v>
      </c>
      <c r="L77" s="227">
        <f t="shared" si="47"/>
        <v>-3.9549111878182559E-3</v>
      </c>
      <c r="M77" s="227">
        <f t="shared" si="47"/>
        <v>-3.9486705219617686E-3</v>
      </c>
      <c r="N77" s="227">
        <f t="shared" si="47"/>
        <v>-3.9202326095069042E-3</v>
      </c>
      <c r="O77" s="227">
        <f t="shared" si="47"/>
        <v>-3.9548997247067091E-3</v>
      </c>
      <c r="P77" s="227">
        <f t="shared" si="47"/>
        <v>-3.9486665951389017E-3</v>
      </c>
      <c r="Q77" s="231">
        <f t="shared" si="47"/>
        <v>-3.9120846850322997E-3</v>
      </c>
      <c r="R77" s="227">
        <f t="shared" si="47"/>
        <v>-3.9429291719748861E-3</v>
      </c>
      <c r="S77" s="231">
        <f t="shared" si="47"/>
        <v>0</v>
      </c>
      <c r="T77" s="227">
        <f>+R77-E77</f>
        <v>4.8903634561503562E-3</v>
      </c>
      <c r="U77" s="227"/>
      <c r="V77" s="229"/>
      <c r="W77" s="226" t="str">
        <f>IF(ISBLANK('3. Scrap (LC)'!W77),"",'3. Scrap (LC)'!W77)</f>
        <v/>
      </c>
      <c r="Y77" s="224"/>
    </row>
    <row r="78" spans="1:25" ht="15.6" customHeight="1" x14ac:dyDescent="0.25">
      <c r="B78" s="308"/>
      <c r="C78" s="308"/>
      <c r="D78" s="223"/>
      <c r="E78" s="307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307"/>
      <c r="R78" s="307"/>
      <c r="S78" s="307"/>
      <c r="T78" s="222"/>
      <c r="U78" s="221"/>
      <c r="V78" s="221"/>
      <c r="Y78" s="219"/>
    </row>
  </sheetData>
  <mergeCells count="6">
    <mergeCell ref="T4:V4"/>
    <mergeCell ref="A4:B4"/>
    <mergeCell ref="A5:B5"/>
    <mergeCell ref="F4:Q4"/>
    <mergeCell ref="R4:S4"/>
    <mergeCell ref="C4:E4"/>
  </mergeCells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zoomScaleNormal="100" workbookViewId="0">
      <pane xSplit="1" ySplit="6" topLeftCell="B7" activePane="bottomRight" state="frozen"/>
      <selection pane="topRight" activeCell="H16" sqref="H16"/>
      <selection pane="bottomLeft" activeCell="H16" sqref="H16"/>
      <selection pane="bottomRight" activeCell="T19" sqref="T19"/>
    </sheetView>
  </sheetViews>
  <sheetFormatPr defaultColWidth="8.7109375" defaultRowHeight="12.75" customHeight="1" outlineLevelRow="1" outlineLevelCol="1" x14ac:dyDescent="0.2"/>
  <cols>
    <col min="1" max="1" width="52.28515625" style="220" customWidth="1"/>
    <col min="2" max="2" width="19.5703125" style="220" customWidth="1"/>
    <col min="3" max="3" width="17.28515625" style="220" customWidth="1"/>
    <col min="4" max="15" width="15.7109375" style="220" hidden="1" customWidth="1" outlineLevel="1"/>
    <col min="16" max="16" width="17.28515625" style="220" customWidth="1" collapsed="1"/>
    <col min="17" max="17" width="10.7109375" style="220" customWidth="1"/>
    <col min="18" max="18" width="17" style="220" customWidth="1"/>
    <col min="19" max="19" width="19.28515625" style="220" customWidth="1"/>
    <col min="20" max="20" width="78.140625" style="220" customWidth="1"/>
    <col min="21" max="21" width="8.7109375" style="220"/>
    <col min="22" max="22" width="146.28515625" style="220" customWidth="1"/>
    <col min="23" max="16384" width="8.7109375" style="220"/>
  </cols>
  <sheetData>
    <row r="1" spans="1:22" ht="20.100000000000001" customHeight="1" x14ac:dyDescent="0.25">
      <c r="A1" s="60" t="str">
        <f>+'0. Instructions'!A1</f>
        <v>Budget 2024</v>
      </c>
      <c r="B1" s="60"/>
      <c r="C1" s="218"/>
      <c r="D1" s="218"/>
      <c r="E1" s="218"/>
      <c r="F1" s="218"/>
      <c r="G1" s="58"/>
      <c r="H1" s="60"/>
      <c r="I1" s="60"/>
      <c r="J1" s="60"/>
      <c r="K1" s="218"/>
      <c r="L1" s="218"/>
      <c r="M1" s="218"/>
      <c r="N1" s="58"/>
      <c r="O1" s="218"/>
      <c r="P1" s="60"/>
      <c r="Q1" s="60"/>
      <c r="R1" s="218"/>
      <c r="S1" s="218"/>
      <c r="T1" s="57" t="str">
        <f>'Input-FX Rates'!$H$1</f>
        <v>Plant ICH Icheon (242)</v>
      </c>
      <c r="U1" s="366"/>
      <c r="V1" s="56" t="s">
        <v>154</v>
      </c>
    </row>
    <row r="2" spans="1:22" ht="20.100000000000001" customHeight="1" thickBot="1" x14ac:dyDescent="0.3">
      <c r="A2" s="55" t="s">
        <v>419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217"/>
      <c r="N2" s="54"/>
      <c r="O2" s="55"/>
      <c r="P2" s="217"/>
      <c r="Q2" s="217"/>
      <c r="R2" s="217"/>
      <c r="S2" s="217"/>
      <c r="T2" s="54" t="str">
        <f>'Input-FX Rates'!$H$2</f>
        <v>7521 &amp; 7522 PL Mechatronic Sensors (&amp; Electrification)</v>
      </c>
      <c r="V2" s="95" t="s">
        <v>156</v>
      </c>
    </row>
    <row r="4" spans="1:22" ht="27.6" customHeight="1" x14ac:dyDescent="0.2">
      <c r="A4" s="187" t="str">
        <f>"Fix Cost"&amp;" in '000 "&amp;'Input-FX Rates'!$B$8</f>
        <v>Fix Cost in '000 KRW</v>
      </c>
      <c r="B4" s="1029">
        <v>2023</v>
      </c>
      <c r="C4" s="1030"/>
      <c r="D4" s="1027">
        <v>2024</v>
      </c>
      <c r="E4" s="1027"/>
      <c r="F4" s="1027"/>
      <c r="G4" s="1027"/>
      <c r="H4" s="1027"/>
      <c r="I4" s="1027"/>
      <c r="J4" s="1027"/>
      <c r="K4" s="1027"/>
      <c r="L4" s="1027"/>
      <c r="M4" s="1027"/>
      <c r="N4" s="1027"/>
      <c r="O4" s="1030"/>
      <c r="P4" s="1029">
        <v>2024</v>
      </c>
      <c r="Q4" s="1030"/>
      <c r="R4" s="186" t="s">
        <v>190</v>
      </c>
      <c r="S4" s="187" t="s">
        <v>420</v>
      </c>
      <c r="T4" s="645" t="s">
        <v>208</v>
      </c>
      <c r="V4" s="220" t="s">
        <v>421</v>
      </c>
    </row>
    <row r="5" spans="1:22" ht="15.6" customHeight="1" x14ac:dyDescent="0.2">
      <c r="A5" s="187"/>
      <c r="B5" s="645" t="s">
        <v>242</v>
      </c>
      <c r="C5" s="187" t="s">
        <v>19</v>
      </c>
      <c r="D5" s="186" t="s">
        <v>321</v>
      </c>
      <c r="E5" s="186" t="s">
        <v>322</v>
      </c>
      <c r="F5" s="186" t="s">
        <v>323</v>
      </c>
      <c r="G5" s="186" t="s">
        <v>324</v>
      </c>
      <c r="H5" s="186" t="s">
        <v>325</v>
      </c>
      <c r="I5" s="186" t="s">
        <v>326</v>
      </c>
      <c r="J5" s="186" t="s">
        <v>327</v>
      </c>
      <c r="K5" s="186" t="s">
        <v>328</v>
      </c>
      <c r="L5" s="186" t="s">
        <v>329</v>
      </c>
      <c r="M5" s="186" t="s">
        <v>330</v>
      </c>
      <c r="N5" s="186" t="s">
        <v>331</v>
      </c>
      <c r="O5" s="187" t="s">
        <v>332</v>
      </c>
      <c r="P5" s="645" t="s">
        <v>15</v>
      </c>
      <c r="Q5" s="187" t="s">
        <v>251</v>
      </c>
      <c r="R5" s="41" t="s">
        <v>422</v>
      </c>
      <c r="S5" s="40" t="s">
        <v>422</v>
      </c>
      <c r="T5" s="645"/>
      <c r="V5" s="220" t="s">
        <v>423</v>
      </c>
    </row>
    <row r="6" spans="1:22" ht="15.75" x14ac:dyDescent="0.2">
      <c r="A6" s="187"/>
      <c r="B6" s="645"/>
      <c r="C6" s="187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7"/>
      <c r="P6" s="645"/>
      <c r="Q6" s="187"/>
      <c r="R6" s="41"/>
      <c r="S6" s="40" t="s">
        <v>424</v>
      </c>
      <c r="T6" s="645"/>
      <c r="V6" s="266"/>
    </row>
    <row r="7" spans="1:22" s="334" customFormat="1" ht="15.75" x14ac:dyDescent="0.2">
      <c r="A7" s="214" t="s">
        <v>195</v>
      </c>
      <c r="B7" s="265">
        <f>'2. Variable (LC)'!B6</f>
        <v>10156179.187999999</v>
      </c>
      <c r="C7" s="80">
        <f>'2. Variable (LC)'!C6</f>
        <v>21211769.708999999</v>
      </c>
      <c r="D7" s="78">
        <f>'P&amp;L_seasonal'!D8</f>
        <v>1739629.5279999999</v>
      </c>
      <c r="E7" s="78">
        <f>'P&amp;L_seasonal'!E8</f>
        <v>1739642.172</v>
      </c>
      <c r="F7" s="78">
        <f>'P&amp;L_seasonal'!F8</f>
        <v>1695770.175</v>
      </c>
      <c r="G7" s="78">
        <f>'P&amp;L_seasonal'!G8</f>
        <v>1739642.172</v>
      </c>
      <c r="H7" s="78">
        <f>'P&amp;L_seasonal'!H8</f>
        <v>1783555.132</v>
      </c>
      <c r="I7" s="78">
        <f>'P&amp;L_seasonal'!I8</f>
        <v>1664422.378</v>
      </c>
      <c r="J7" s="78">
        <f>'P&amp;L_seasonal'!J8</f>
        <v>1798104.8529999999</v>
      </c>
      <c r="K7" s="78">
        <f>'P&amp;L_seasonal'!K8</f>
        <v>1753455.7420000001</v>
      </c>
      <c r="L7" s="78">
        <f>'P&amp;L_seasonal'!L8</f>
        <v>1575219.5379999999</v>
      </c>
      <c r="M7" s="78">
        <f>'P&amp;L_seasonal'!M8</f>
        <v>1798018.027</v>
      </c>
      <c r="N7" s="78">
        <f>'P&amp;L_seasonal'!N8</f>
        <v>1753426.3359999999</v>
      </c>
      <c r="O7" s="78">
        <f>'P&amp;L_seasonal'!O8</f>
        <v>1530643.757</v>
      </c>
      <c r="P7" s="265">
        <f>'2. Variable (LC)'!M6</f>
        <v>20571529.809999999</v>
      </c>
      <c r="Q7" s="80">
        <f>'2. Variable (LC)'!L6</f>
        <v>0</v>
      </c>
      <c r="R7" s="78">
        <f t="shared" ref="R7:R34" si="0">P7-C7</f>
        <v>-640239.89900000021</v>
      </c>
      <c r="S7" s="263">
        <f t="shared" ref="S7:S34" si="1">IFERROR(P7/C7-1,0)</f>
        <v>-3.0183238257972977E-2</v>
      </c>
      <c r="T7" s="927"/>
      <c r="V7" s="19" t="s">
        <v>425</v>
      </c>
    </row>
    <row r="8" spans="1:22" s="365" customFormat="1" ht="15" outlineLevel="1" x14ac:dyDescent="0.2">
      <c r="A8" s="356" t="s">
        <v>426</v>
      </c>
      <c r="B8" s="369">
        <f>KeyData!F33</f>
        <v>-305965.86700000003</v>
      </c>
      <c r="C8" s="363">
        <f>KeyData!G33</f>
        <v>-615492.63399999996</v>
      </c>
      <c r="D8" s="364">
        <f>KeyData_seasonal!D33</f>
        <v>-54295.493000000002</v>
      </c>
      <c r="E8" s="364">
        <f>KeyData_seasonal!E33</f>
        <v>-54215.038999999997</v>
      </c>
      <c r="F8" s="364">
        <f>KeyData_seasonal!F33</f>
        <v>-54362.315999999999</v>
      </c>
      <c r="G8" s="364">
        <f>KeyData_seasonal!G33</f>
        <v>-50166.438999999998</v>
      </c>
      <c r="H8" s="364">
        <f>KeyData_seasonal!H33</f>
        <v>-53105.339</v>
      </c>
      <c r="I8" s="364">
        <f>KeyData_seasonal!I33</f>
        <v>-54124.247000000003</v>
      </c>
      <c r="J8" s="364">
        <f>KeyData_seasonal!J33</f>
        <v>-68689.45</v>
      </c>
      <c r="K8" s="364">
        <f>KeyData_seasonal!K33</f>
        <v>-65987.236999999994</v>
      </c>
      <c r="L8" s="364">
        <f>KeyData_seasonal!L33</f>
        <v>-58387.523999999998</v>
      </c>
      <c r="M8" s="364">
        <f>KeyData_seasonal!M33</f>
        <v>-58377.088000000003</v>
      </c>
      <c r="N8" s="364">
        <f>KeyData_seasonal!N33</f>
        <v>-57342.53</v>
      </c>
      <c r="O8" s="363">
        <f>KeyData_seasonal!O33</f>
        <v>-60199.338000000003</v>
      </c>
      <c r="P8" s="353">
        <f>KeyData!H33</f>
        <v>-689252.04</v>
      </c>
      <c r="Q8" s="358">
        <v>-913500</v>
      </c>
      <c r="R8" s="355">
        <f t="shared" si="0"/>
        <v>-73759.406000000075</v>
      </c>
      <c r="S8" s="362">
        <f t="shared" si="1"/>
        <v>0.11983799955597862</v>
      </c>
      <c r="T8" s="351" t="s">
        <v>427</v>
      </c>
      <c r="U8" s="220"/>
      <c r="V8" s="266" t="s">
        <v>428</v>
      </c>
    </row>
    <row r="9" spans="1:22" s="365" customFormat="1" ht="15" outlineLevel="1" x14ac:dyDescent="0.2">
      <c r="A9" s="356" t="s">
        <v>429</v>
      </c>
      <c r="B9" s="369">
        <f>KeyData!F34</f>
        <v>-10512.043</v>
      </c>
      <c r="C9" s="363">
        <f>KeyData!G34</f>
        <v>-26914.803</v>
      </c>
      <c r="D9" s="364">
        <f>KeyData_seasonal!D34</f>
        <v>-2465.221</v>
      </c>
      <c r="E9" s="364">
        <f>KeyData_seasonal!E34</f>
        <v>-2614.5160000000001</v>
      </c>
      <c r="F9" s="364">
        <f>KeyData_seasonal!F34</f>
        <v>-2503.748</v>
      </c>
      <c r="G9" s="364">
        <f>KeyData_seasonal!G34</f>
        <v>-2289.759</v>
      </c>
      <c r="H9" s="364">
        <f>KeyData_seasonal!H34</f>
        <v>-2331.4780000000001</v>
      </c>
      <c r="I9" s="364">
        <f>KeyData_seasonal!I34</f>
        <v>-2560.8890000000001</v>
      </c>
      <c r="J9" s="364">
        <f>KeyData_seasonal!J34</f>
        <v>-3098.3040000000001</v>
      </c>
      <c r="K9" s="364">
        <f>KeyData_seasonal!K34</f>
        <v>-2610.027</v>
      </c>
      <c r="L9" s="364">
        <f>KeyData_seasonal!L34</f>
        <v>-2813.4</v>
      </c>
      <c r="M9" s="364">
        <f>KeyData_seasonal!M34</f>
        <v>-2567.9059999999999</v>
      </c>
      <c r="N9" s="364">
        <f>KeyData_seasonal!N34</f>
        <v>-2608.0160000000001</v>
      </c>
      <c r="O9" s="363">
        <f>KeyData_seasonal!O34</f>
        <v>-2662.3560000000002</v>
      </c>
      <c r="P9" s="353">
        <f>KeyData!H34</f>
        <v>-31125.62</v>
      </c>
      <c r="Q9" s="358"/>
      <c r="R9" s="355">
        <f t="shared" si="0"/>
        <v>-4210.8169999999991</v>
      </c>
      <c r="S9" s="362">
        <f t="shared" si="1"/>
        <v>0.15644985400784828</v>
      </c>
      <c r="T9" s="351"/>
      <c r="U9" s="220"/>
      <c r="V9" s="266" t="s">
        <v>430</v>
      </c>
    </row>
    <row r="10" spans="1:22" s="365" customFormat="1" ht="15" outlineLevel="1" x14ac:dyDescent="0.2">
      <c r="A10" s="356" t="s">
        <v>431</v>
      </c>
      <c r="B10" s="369">
        <f>KeyData!F35</f>
        <v>-115476.109</v>
      </c>
      <c r="C10" s="363">
        <f>KeyData!G35</f>
        <v>-189182.473</v>
      </c>
      <c r="D10" s="364">
        <f>KeyData_seasonal!D35</f>
        <v>-25342.435000000001</v>
      </c>
      <c r="E10" s="364">
        <f>KeyData_seasonal!E35</f>
        <v>-26243.616000000002</v>
      </c>
      <c r="F10" s="364">
        <f>KeyData_seasonal!F35</f>
        <v>-20310.898000000001</v>
      </c>
      <c r="G10" s="364">
        <f>KeyData_seasonal!G35</f>
        <v>-14322.986999999999</v>
      </c>
      <c r="H10" s="364">
        <f>KeyData_seasonal!H35</f>
        <v>-16795.213</v>
      </c>
      <c r="I10" s="364">
        <f>KeyData_seasonal!I35</f>
        <v>-14292.66</v>
      </c>
      <c r="J10" s="364">
        <f>KeyData_seasonal!J35</f>
        <v>-17971.845000000001</v>
      </c>
      <c r="K10" s="364">
        <f>KeyData_seasonal!K35</f>
        <v>-14030.644</v>
      </c>
      <c r="L10" s="364">
        <f>KeyData_seasonal!L35</f>
        <v>-21652.095000000001</v>
      </c>
      <c r="M10" s="364">
        <f>KeyData_seasonal!M35</f>
        <v>-14448.245000000001</v>
      </c>
      <c r="N10" s="364">
        <f>KeyData_seasonal!N35</f>
        <v>-16699.555</v>
      </c>
      <c r="O10" s="363">
        <f>KeyData_seasonal!O35</f>
        <v>-14536.735000000001</v>
      </c>
      <c r="P10" s="353">
        <f>KeyData!H35</f>
        <v>-216646.92800000001</v>
      </c>
      <c r="Q10" s="358"/>
      <c r="R10" s="355">
        <f t="shared" si="0"/>
        <v>-27464.455000000016</v>
      </c>
      <c r="S10" s="362">
        <f t="shared" si="1"/>
        <v>0.14517441581387946</v>
      </c>
      <c r="T10" s="351" t="s">
        <v>432</v>
      </c>
      <c r="U10" s="220"/>
      <c r="V10" s="266" t="s">
        <v>433</v>
      </c>
    </row>
    <row r="11" spans="1:22" ht="15" outlineLevel="1" x14ac:dyDescent="0.2">
      <c r="A11" s="356" t="s">
        <v>434</v>
      </c>
      <c r="B11" s="369">
        <f>KeyData!F36</f>
        <v>-1600</v>
      </c>
      <c r="C11" s="331">
        <f>KeyData!G36</f>
        <v>-1600</v>
      </c>
      <c r="D11" s="364">
        <f>KeyData_seasonal!D36</f>
        <v>0</v>
      </c>
      <c r="E11" s="364">
        <f>KeyData_seasonal!E36</f>
        <v>0</v>
      </c>
      <c r="F11" s="364">
        <f>KeyData_seasonal!F36</f>
        <v>0</v>
      </c>
      <c r="G11" s="364">
        <f>KeyData_seasonal!G36</f>
        <v>0</v>
      </c>
      <c r="H11" s="364">
        <f>KeyData_seasonal!H36</f>
        <v>0</v>
      </c>
      <c r="I11" s="364">
        <f>KeyData_seasonal!I36</f>
        <v>0</v>
      </c>
      <c r="J11" s="364">
        <f>KeyData_seasonal!J36</f>
        <v>0</v>
      </c>
      <c r="K11" s="364">
        <f>KeyData_seasonal!K36</f>
        <v>0</v>
      </c>
      <c r="L11" s="364">
        <f>KeyData_seasonal!L36</f>
        <v>0</v>
      </c>
      <c r="M11" s="364">
        <f>KeyData_seasonal!M36</f>
        <v>0</v>
      </c>
      <c r="N11" s="364">
        <f>KeyData_seasonal!N36</f>
        <v>0</v>
      </c>
      <c r="O11" s="363">
        <f>KeyData_seasonal!O36</f>
        <v>0</v>
      </c>
      <c r="P11" s="353">
        <f>KeyData!H36</f>
        <v>0</v>
      </c>
      <c r="Q11" s="358"/>
      <c r="R11" s="355">
        <f t="shared" si="0"/>
        <v>1600</v>
      </c>
      <c r="S11" s="362">
        <f t="shared" si="1"/>
        <v>-1</v>
      </c>
      <c r="T11" s="351"/>
      <c r="V11" s="969" t="s">
        <v>435</v>
      </c>
    </row>
    <row r="12" spans="1:22" ht="15" outlineLevel="1" x14ac:dyDescent="0.2">
      <c r="A12" s="356" t="s">
        <v>436</v>
      </c>
      <c r="B12" s="369">
        <f>KeyData!F37</f>
        <v>-6065.3190000000004</v>
      </c>
      <c r="C12" s="331">
        <f>KeyData!G37</f>
        <v>0</v>
      </c>
      <c r="D12" s="364">
        <f>KeyData_seasonal!D37</f>
        <v>-2237.48</v>
      </c>
      <c r="E12" s="364">
        <f>KeyData_seasonal!E37</f>
        <v>-2237.48</v>
      </c>
      <c r="F12" s="364">
        <f>KeyData_seasonal!F37</f>
        <v>-2237.48</v>
      </c>
      <c r="G12" s="364">
        <f>KeyData_seasonal!G37</f>
        <v>-2237.48</v>
      </c>
      <c r="H12" s="364">
        <f>KeyData_seasonal!H37</f>
        <v>-2237.48</v>
      </c>
      <c r="I12" s="364">
        <f>KeyData_seasonal!I37</f>
        <v>-2237.48</v>
      </c>
      <c r="J12" s="364">
        <f>KeyData_seasonal!J37</f>
        <v>-2237.48</v>
      </c>
      <c r="K12" s="364">
        <f>KeyData_seasonal!K37</f>
        <v>-2237.48</v>
      </c>
      <c r="L12" s="364">
        <f>KeyData_seasonal!L37</f>
        <v>-2237.48</v>
      </c>
      <c r="M12" s="364">
        <f>KeyData_seasonal!M37</f>
        <v>-2237.48</v>
      </c>
      <c r="N12" s="364">
        <f>KeyData_seasonal!N37</f>
        <v>-2237.48</v>
      </c>
      <c r="O12" s="363">
        <f>KeyData_seasonal!O37</f>
        <v>-2237.48</v>
      </c>
      <c r="P12" s="353">
        <f>KeyData!H37</f>
        <v>-26849.759999999998</v>
      </c>
      <c r="Q12" s="358"/>
      <c r="R12" s="355">
        <f t="shared" si="0"/>
        <v>-26849.759999999998</v>
      </c>
      <c r="S12" s="362">
        <f t="shared" si="1"/>
        <v>0</v>
      </c>
      <c r="T12" s="351" t="s">
        <v>437</v>
      </c>
      <c r="V12" s="266" t="s">
        <v>438</v>
      </c>
    </row>
    <row r="13" spans="1:22" ht="15" outlineLevel="1" x14ac:dyDescent="0.2">
      <c r="A13" s="356" t="s">
        <v>439</v>
      </c>
      <c r="B13" s="369">
        <f>KeyData!F38</f>
        <v>-26635.040000000001</v>
      </c>
      <c r="C13" s="331">
        <f>KeyData!G38</f>
        <v>-26635.040000000001</v>
      </c>
      <c r="D13" s="364">
        <f>KeyData_seasonal!D38</f>
        <v>0</v>
      </c>
      <c r="E13" s="364">
        <f>KeyData_seasonal!E38</f>
        <v>0</v>
      </c>
      <c r="F13" s="364">
        <f>KeyData_seasonal!F38</f>
        <v>0</v>
      </c>
      <c r="G13" s="364">
        <f>KeyData_seasonal!G38</f>
        <v>0</v>
      </c>
      <c r="H13" s="364">
        <f>KeyData_seasonal!H38</f>
        <v>0</v>
      </c>
      <c r="I13" s="364">
        <f>KeyData_seasonal!I38</f>
        <v>0</v>
      </c>
      <c r="J13" s="364">
        <f>KeyData_seasonal!J38</f>
        <v>0</v>
      </c>
      <c r="K13" s="364">
        <f>KeyData_seasonal!K38</f>
        <v>0</v>
      </c>
      <c r="L13" s="364">
        <f>KeyData_seasonal!L38</f>
        <v>0</v>
      </c>
      <c r="M13" s="364">
        <f>KeyData_seasonal!M38</f>
        <v>0</v>
      </c>
      <c r="N13" s="364">
        <f>KeyData_seasonal!N38</f>
        <v>0</v>
      </c>
      <c r="O13" s="363">
        <f>KeyData_seasonal!O38</f>
        <v>0</v>
      </c>
      <c r="P13" s="353">
        <f>KeyData!H38</f>
        <v>0</v>
      </c>
      <c r="Q13" s="358"/>
      <c r="R13" s="355">
        <f t="shared" si="0"/>
        <v>26635.040000000001</v>
      </c>
      <c r="S13" s="362">
        <f t="shared" si="1"/>
        <v>-1</v>
      </c>
      <c r="T13" s="351"/>
      <c r="V13" s="266" t="s">
        <v>440</v>
      </c>
    </row>
    <row r="14" spans="1:22" ht="15" outlineLevel="1" x14ac:dyDescent="0.2">
      <c r="A14" s="356" t="s">
        <v>441</v>
      </c>
      <c r="B14" s="369">
        <f>KeyData!F39</f>
        <v>-65250.928999999996</v>
      </c>
      <c r="C14" s="331">
        <f>KeyData!G39</f>
        <v>-72598.528999999995</v>
      </c>
      <c r="D14" s="364">
        <f>KeyData_seasonal!D39</f>
        <v>-9259.5669999999991</v>
      </c>
      <c r="E14" s="364">
        <f>KeyData_seasonal!E39</f>
        <v>-9673.7990000000009</v>
      </c>
      <c r="F14" s="364">
        <f>KeyData_seasonal!F39</f>
        <v>-9775.51</v>
      </c>
      <c r="G14" s="364">
        <f>KeyData_seasonal!G39</f>
        <v>-9456.3209999999999</v>
      </c>
      <c r="H14" s="364">
        <f>KeyData_seasonal!H39</f>
        <v>-9672.9879999999994</v>
      </c>
      <c r="I14" s="364">
        <f>KeyData_seasonal!I39</f>
        <v>-9511.9159999999993</v>
      </c>
      <c r="J14" s="364">
        <f>KeyData_seasonal!J39</f>
        <v>-9886.7839999999997</v>
      </c>
      <c r="K14" s="364">
        <f>KeyData_seasonal!K39</f>
        <v>-9542.7260000000006</v>
      </c>
      <c r="L14" s="364">
        <f>KeyData_seasonal!L39</f>
        <v>-9704.6119999999992</v>
      </c>
      <c r="M14" s="364">
        <f>KeyData_seasonal!M39</f>
        <v>-9678.6679999999997</v>
      </c>
      <c r="N14" s="364">
        <f>KeyData_seasonal!N39</f>
        <v>-9332.7260000000006</v>
      </c>
      <c r="O14" s="363">
        <f>KeyData_seasonal!O39</f>
        <v>-9715.1620000000003</v>
      </c>
      <c r="P14" s="353">
        <f>KeyData!H39</f>
        <v>-115210.77899999999</v>
      </c>
      <c r="Q14" s="358"/>
      <c r="R14" s="355">
        <f t="shared" si="0"/>
        <v>-42612.25</v>
      </c>
      <c r="S14" s="362">
        <f t="shared" si="1"/>
        <v>0.58695748504766532</v>
      </c>
      <c r="T14" s="351" t="s">
        <v>442</v>
      </c>
      <c r="V14" s="266" t="s">
        <v>443</v>
      </c>
    </row>
    <row r="15" spans="1:22" s="334" customFormat="1" ht="15.75" outlineLevel="1" x14ac:dyDescent="0.2">
      <c r="A15" s="340" t="s">
        <v>444</v>
      </c>
      <c r="B15" s="345">
        <f>SUM(B8:B14)</f>
        <v>-531505.30700000003</v>
      </c>
      <c r="C15" s="339">
        <f t="shared" ref="C15:Q15" si="2">SUM(C8:C14)</f>
        <v>-932423.47899999993</v>
      </c>
      <c r="D15" s="336">
        <f t="shared" si="2"/>
        <v>-93600.195999999996</v>
      </c>
      <c r="E15" s="336">
        <f t="shared" si="2"/>
        <v>-94984.45</v>
      </c>
      <c r="F15" s="336">
        <f t="shared" si="2"/>
        <v>-89189.95199999999</v>
      </c>
      <c r="G15" s="336">
        <f t="shared" si="2"/>
        <v>-78472.98599999999</v>
      </c>
      <c r="H15" s="336">
        <f t="shared" si="2"/>
        <v>-84142.497999999992</v>
      </c>
      <c r="I15" s="336">
        <f t="shared" si="2"/>
        <v>-82727.191999999995</v>
      </c>
      <c r="J15" s="336">
        <f t="shared" si="2"/>
        <v>-101883.863</v>
      </c>
      <c r="K15" s="336">
        <f t="shared" si="2"/>
        <v>-94408.113999999987</v>
      </c>
      <c r="L15" s="336">
        <f t="shared" si="2"/>
        <v>-94795.11099999999</v>
      </c>
      <c r="M15" s="336">
        <f t="shared" si="2"/>
        <v>-87309.387000000002</v>
      </c>
      <c r="N15" s="336">
        <f t="shared" si="2"/>
        <v>-88220.306999999986</v>
      </c>
      <c r="O15" s="339">
        <f t="shared" si="2"/>
        <v>-89351.070999999996</v>
      </c>
      <c r="P15" s="336">
        <f t="shared" si="2"/>
        <v>-1079085.1270000001</v>
      </c>
      <c r="Q15" s="339">
        <f t="shared" si="2"/>
        <v>-913500</v>
      </c>
      <c r="R15" s="336">
        <f t="shared" si="0"/>
        <v>-146661.64800000016</v>
      </c>
      <c r="S15" s="335">
        <f t="shared" si="1"/>
        <v>0.1572908139950433</v>
      </c>
      <c r="T15" s="361"/>
      <c r="V15" s="19"/>
    </row>
    <row r="16" spans="1:22" ht="15" outlineLevel="1" x14ac:dyDescent="0.2">
      <c r="A16" s="356" t="s">
        <v>445</v>
      </c>
      <c r="B16" s="369">
        <f>KeyData!F41</f>
        <v>-168040.886</v>
      </c>
      <c r="C16" s="331">
        <f>KeyData!G41</f>
        <v>-441112.712</v>
      </c>
      <c r="D16" s="364">
        <f>KeyData_seasonal!D41</f>
        <v>-35657.870000000003</v>
      </c>
      <c r="E16" s="364">
        <f>KeyData_seasonal!E41</f>
        <v>-35657.870000000003</v>
      </c>
      <c r="F16" s="364">
        <f>KeyData_seasonal!F41</f>
        <v>-35657.870000000003</v>
      </c>
      <c r="G16" s="364">
        <f>KeyData_seasonal!G41</f>
        <v>-35657.870000000003</v>
      </c>
      <c r="H16" s="364">
        <f>KeyData_seasonal!H41</f>
        <v>-35657.870000000003</v>
      </c>
      <c r="I16" s="364">
        <f>KeyData_seasonal!I41</f>
        <v>-35657.870000000003</v>
      </c>
      <c r="J16" s="364">
        <f>KeyData_seasonal!J41</f>
        <v>-35657.870000000003</v>
      </c>
      <c r="K16" s="364">
        <f>KeyData_seasonal!K41</f>
        <v>-35657.870000000003</v>
      </c>
      <c r="L16" s="364">
        <f>KeyData_seasonal!L41</f>
        <v>-35657.870000000003</v>
      </c>
      <c r="M16" s="364">
        <f>KeyData_seasonal!M41</f>
        <v>-35657.870000000003</v>
      </c>
      <c r="N16" s="364">
        <f>KeyData_seasonal!N41</f>
        <v>-35657.870000000003</v>
      </c>
      <c r="O16" s="363">
        <f>KeyData_seasonal!O41</f>
        <v>-35657.870000000003</v>
      </c>
      <c r="P16" s="353">
        <f>KeyData!H41</f>
        <v>-427894.44</v>
      </c>
      <c r="Q16" s="358"/>
      <c r="R16" s="355">
        <f t="shared" si="0"/>
        <v>13218.271999999997</v>
      </c>
      <c r="S16" s="362">
        <f t="shared" si="1"/>
        <v>-2.9965747167132184E-2</v>
      </c>
      <c r="T16" s="351" t="s">
        <v>446</v>
      </c>
      <c r="V16" s="266" t="s">
        <v>447</v>
      </c>
    </row>
    <row r="17" spans="1:22" ht="15" outlineLevel="1" x14ac:dyDescent="0.2">
      <c r="A17" s="356" t="s">
        <v>448</v>
      </c>
      <c r="B17" s="369">
        <f>KeyData!F42</f>
        <v>-54448.459000000003</v>
      </c>
      <c r="C17" s="331">
        <f>KeyData!G42</f>
        <v>-137798.95300000001</v>
      </c>
      <c r="D17" s="364">
        <f>KeyData_seasonal!D42</f>
        <v>-10756.484</v>
      </c>
      <c r="E17" s="364">
        <f>KeyData_seasonal!E42</f>
        <v>-10756.484</v>
      </c>
      <c r="F17" s="364">
        <f>KeyData_seasonal!F42</f>
        <v>-10756.484</v>
      </c>
      <c r="G17" s="364">
        <f>KeyData_seasonal!G42</f>
        <v>-10756.484</v>
      </c>
      <c r="H17" s="364">
        <f>KeyData_seasonal!H42</f>
        <v>-10756.484</v>
      </c>
      <c r="I17" s="364">
        <f>KeyData_seasonal!I42</f>
        <v>-10756.484</v>
      </c>
      <c r="J17" s="364">
        <f>KeyData_seasonal!J42</f>
        <v>-10756.484</v>
      </c>
      <c r="K17" s="364">
        <f>KeyData_seasonal!K42</f>
        <v>-10756.484</v>
      </c>
      <c r="L17" s="364">
        <f>KeyData_seasonal!L42</f>
        <v>-10756.484</v>
      </c>
      <c r="M17" s="364">
        <f>KeyData_seasonal!M42</f>
        <v>-10756.484</v>
      </c>
      <c r="N17" s="364">
        <f>KeyData_seasonal!N42</f>
        <v>-10756.484</v>
      </c>
      <c r="O17" s="363">
        <f>KeyData_seasonal!O42</f>
        <v>-10756.484</v>
      </c>
      <c r="P17" s="353">
        <f>KeyData!H42</f>
        <v>-129077.808</v>
      </c>
      <c r="Q17" s="358"/>
      <c r="R17" s="355">
        <f>P17-C17</f>
        <v>8721.1450000000041</v>
      </c>
      <c r="S17" s="362">
        <f t="shared" si="1"/>
        <v>-6.328890612107918E-2</v>
      </c>
      <c r="T17" s="351" t="s">
        <v>446</v>
      </c>
      <c r="V17" s="266" t="s">
        <v>449</v>
      </c>
    </row>
    <row r="18" spans="1:22" s="365" customFormat="1" ht="15" outlineLevel="1" x14ac:dyDescent="0.2">
      <c r="A18" s="356" t="s">
        <v>450</v>
      </c>
      <c r="B18" s="369">
        <f>KeyData!F43</f>
        <v>0</v>
      </c>
      <c r="C18" s="331">
        <f>KeyData!G43</f>
        <v>0</v>
      </c>
      <c r="D18" s="364">
        <f>KeyData_seasonal!D43</f>
        <v>0</v>
      </c>
      <c r="E18" s="364">
        <f>KeyData_seasonal!E43</f>
        <v>0</v>
      </c>
      <c r="F18" s="364">
        <f>KeyData_seasonal!F43</f>
        <v>0</v>
      </c>
      <c r="G18" s="364">
        <f>KeyData_seasonal!G43</f>
        <v>0</v>
      </c>
      <c r="H18" s="364">
        <f>KeyData_seasonal!H43</f>
        <v>0</v>
      </c>
      <c r="I18" s="364">
        <f>KeyData_seasonal!I43</f>
        <v>0</v>
      </c>
      <c r="J18" s="364">
        <f>KeyData_seasonal!J43</f>
        <v>0</v>
      </c>
      <c r="K18" s="364">
        <f>KeyData_seasonal!K43</f>
        <v>0</v>
      </c>
      <c r="L18" s="364">
        <f>KeyData_seasonal!L43</f>
        <v>0</v>
      </c>
      <c r="M18" s="364">
        <f>KeyData_seasonal!M43</f>
        <v>0</v>
      </c>
      <c r="N18" s="364">
        <f>KeyData_seasonal!N43</f>
        <v>0</v>
      </c>
      <c r="O18" s="363">
        <f>KeyData_seasonal!O43</f>
        <v>0</v>
      </c>
      <c r="P18" s="353">
        <f>KeyData!H43</f>
        <v>0</v>
      </c>
      <c r="Q18" s="358"/>
      <c r="R18" s="355">
        <f t="shared" si="0"/>
        <v>0</v>
      </c>
      <c r="S18" s="362">
        <f t="shared" si="1"/>
        <v>0</v>
      </c>
      <c r="T18" s="351" t="s">
        <v>451</v>
      </c>
      <c r="U18" s="220"/>
      <c r="V18" s="741" t="s">
        <v>452</v>
      </c>
    </row>
    <row r="19" spans="1:22" ht="15" outlineLevel="1" x14ac:dyDescent="0.2">
      <c r="A19" s="356" t="s">
        <v>453</v>
      </c>
      <c r="B19" s="369">
        <f>KeyData!F44</f>
        <v>0</v>
      </c>
      <c r="C19" s="331">
        <f>KeyData!G44</f>
        <v>0</v>
      </c>
      <c r="D19" s="364">
        <f>KeyData_seasonal!D44</f>
        <v>-55733.332999999999</v>
      </c>
      <c r="E19" s="364">
        <f>KeyData_seasonal!E44</f>
        <v>-55733.332999999999</v>
      </c>
      <c r="F19" s="364">
        <f>KeyData_seasonal!F44</f>
        <v>-55733.332999999999</v>
      </c>
      <c r="G19" s="364">
        <f>KeyData_seasonal!G44</f>
        <v>-55733.332999999999</v>
      </c>
      <c r="H19" s="364">
        <f>KeyData_seasonal!H44</f>
        <v>-55733.332999999999</v>
      </c>
      <c r="I19" s="364">
        <f>KeyData_seasonal!I44</f>
        <v>-55733.332999999999</v>
      </c>
      <c r="J19" s="364">
        <f>KeyData_seasonal!J44</f>
        <v>-55733.332999999999</v>
      </c>
      <c r="K19" s="364">
        <f>KeyData_seasonal!K44</f>
        <v>-55733.332999999999</v>
      </c>
      <c r="L19" s="364">
        <f>KeyData_seasonal!L44</f>
        <v>-55733.332999999999</v>
      </c>
      <c r="M19" s="364">
        <f>KeyData_seasonal!M44</f>
        <v>-55733.332999999999</v>
      </c>
      <c r="N19" s="364">
        <f>KeyData_seasonal!N44</f>
        <v>-55733.332999999999</v>
      </c>
      <c r="O19" s="363">
        <f>KeyData_seasonal!O44</f>
        <v>-55733.332999999999</v>
      </c>
      <c r="P19" s="353">
        <f>KeyData!H44</f>
        <v>-668799.99600000004</v>
      </c>
      <c r="Q19" s="358"/>
      <c r="R19" s="355">
        <f t="shared" si="0"/>
        <v>-668799.99600000004</v>
      </c>
      <c r="S19" s="362">
        <f t="shared" si="1"/>
        <v>0</v>
      </c>
      <c r="T19" s="351" t="s">
        <v>1510</v>
      </c>
      <c r="V19" s="266" t="s">
        <v>454</v>
      </c>
    </row>
    <row r="20" spans="1:22" ht="15" outlineLevel="1" x14ac:dyDescent="0.2">
      <c r="A20" s="356" t="s">
        <v>455</v>
      </c>
      <c r="B20" s="369">
        <f>KeyData!F45</f>
        <v>-65409.283000000003</v>
      </c>
      <c r="C20" s="331">
        <f>KeyData!G45</f>
        <v>-124876.879</v>
      </c>
      <c r="D20" s="364">
        <f>KeyData_seasonal!D45</f>
        <v>-9572.7369999999992</v>
      </c>
      <c r="E20" s="364">
        <f>KeyData_seasonal!E45</f>
        <v>-9572.7369999999992</v>
      </c>
      <c r="F20" s="364">
        <f>KeyData_seasonal!F45</f>
        <v>-9572.7369999999992</v>
      </c>
      <c r="G20" s="364">
        <f>KeyData_seasonal!G45</f>
        <v>-9572.7369999999992</v>
      </c>
      <c r="H20" s="364">
        <f>KeyData_seasonal!H45</f>
        <v>-9572.7369999999992</v>
      </c>
      <c r="I20" s="364">
        <f>KeyData_seasonal!I45</f>
        <v>-9572.7369999999992</v>
      </c>
      <c r="J20" s="364">
        <f>KeyData_seasonal!J45</f>
        <v>-9572.7369999999992</v>
      </c>
      <c r="K20" s="364">
        <f>KeyData_seasonal!K45</f>
        <v>-9572.7369999999992</v>
      </c>
      <c r="L20" s="364">
        <f>KeyData_seasonal!L45</f>
        <v>-9572.7369999999992</v>
      </c>
      <c r="M20" s="364">
        <f>KeyData_seasonal!M45</f>
        <v>-9572.7369999999992</v>
      </c>
      <c r="N20" s="364">
        <f>KeyData_seasonal!N45</f>
        <v>-9572.7369999999992</v>
      </c>
      <c r="O20" s="363">
        <f>KeyData_seasonal!O45</f>
        <v>-9572.7369999999992</v>
      </c>
      <c r="P20" s="353">
        <f>KeyData!H45</f>
        <v>-114872.844</v>
      </c>
      <c r="Q20" s="358"/>
      <c r="R20" s="355">
        <f t="shared" si="0"/>
        <v>10004.035000000003</v>
      </c>
      <c r="S20" s="362">
        <f t="shared" si="1"/>
        <v>-8.0111186955593272E-2</v>
      </c>
      <c r="T20" s="351"/>
      <c r="V20" s="266" t="s">
        <v>456</v>
      </c>
    </row>
    <row r="21" spans="1:22" s="334" customFormat="1" ht="15.75" outlineLevel="1" x14ac:dyDescent="0.2">
      <c r="A21" s="340" t="s">
        <v>457</v>
      </c>
      <c r="B21" s="345">
        <f>SUM(B16:B20)</f>
        <v>-287898.62800000003</v>
      </c>
      <c r="C21" s="339">
        <f t="shared" ref="C21:Q21" si="3">SUM(C16:C20)</f>
        <v>-703788.54399999999</v>
      </c>
      <c r="D21" s="336">
        <f t="shared" si="3"/>
        <v>-111720.424</v>
      </c>
      <c r="E21" s="336">
        <f t="shared" si="3"/>
        <v>-111720.424</v>
      </c>
      <c r="F21" s="336">
        <f t="shared" si="3"/>
        <v>-111720.424</v>
      </c>
      <c r="G21" s="336">
        <f t="shared" si="3"/>
        <v>-111720.424</v>
      </c>
      <c r="H21" s="336">
        <f t="shared" si="3"/>
        <v>-111720.424</v>
      </c>
      <c r="I21" s="336">
        <f t="shared" si="3"/>
        <v>-111720.424</v>
      </c>
      <c r="J21" s="336">
        <f t="shared" si="3"/>
        <v>-111720.424</v>
      </c>
      <c r="K21" s="336">
        <f t="shared" si="3"/>
        <v>-111720.424</v>
      </c>
      <c r="L21" s="336">
        <f t="shared" si="3"/>
        <v>-111720.424</v>
      </c>
      <c r="M21" s="336">
        <f t="shared" si="3"/>
        <v>-111720.424</v>
      </c>
      <c r="N21" s="336">
        <f t="shared" si="3"/>
        <v>-111720.424</v>
      </c>
      <c r="O21" s="339">
        <f t="shared" si="3"/>
        <v>-111720.424</v>
      </c>
      <c r="P21" s="345">
        <f t="shared" si="3"/>
        <v>-1340645.088</v>
      </c>
      <c r="Q21" s="339">
        <f t="shared" si="3"/>
        <v>0</v>
      </c>
      <c r="R21" s="336">
        <f t="shared" si="0"/>
        <v>-636856.54399999999</v>
      </c>
      <c r="S21" s="335">
        <f t="shared" si="1"/>
        <v>0.90489757105225066</v>
      </c>
      <c r="T21" s="361"/>
      <c r="V21" s="910"/>
    </row>
    <row r="22" spans="1:22" ht="15" outlineLevel="1" x14ac:dyDescent="0.2">
      <c r="A22" s="356" t="s">
        <v>458</v>
      </c>
      <c r="B22" s="96">
        <f>+B23-B21-B15</f>
        <v>0</v>
      </c>
      <c r="C22" s="96">
        <f t="shared" ref="C22:P22" si="4">+C23-C21-C15</f>
        <v>0</v>
      </c>
      <c r="D22" s="752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52">
        <f t="shared" si="4"/>
        <v>0</v>
      </c>
      <c r="Q22" s="354"/>
      <c r="R22" s="355"/>
      <c r="S22" s="362"/>
      <c r="T22" s="351"/>
      <c r="V22" s="638"/>
    </row>
    <row r="23" spans="1:22" s="334" customFormat="1" ht="15.75" x14ac:dyDescent="0.2">
      <c r="A23" s="340" t="s">
        <v>459</v>
      </c>
      <c r="B23" s="345">
        <f>'P&amp;L'!F55+'P&amp;L'!F56+'P&amp;L'!F57+'P&amp;L'!F59</f>
        <v>-819403.93500000006</v>
      </c>
      <c r="C23" s="339">
        <f>'P&amp;L'!H55+'P&amp;L'!H56+'P&amp;L'!H57+'P&amp;L'!H59</f>
        <v>-1636212.023</v>
      </c>
      <c r="D23" s="336">
        <f>+'P&amp;L_seasonal'!D55+'P&amp;L_seasonal'!D56+'P&amp;L_seasonal'!D57+'P&amp;L_seasonal'!D59</f>
        <v>-205320.62</v>
      </c>
      <c r="E23" s="336">
        <f>+'P&amp;L_seasonal'!E55+'P&amp;L_seasonal'!E56+'P&amp;L_seasonal'!E57+'P&amp;L_seasonal'!E59</f>
        <v>-206704.87400000001</v>
      </c>
      <c r="F23" s="336">
        <f>+'P&amp;L_seasonal'!F55+'P&amp;L_seasonal'!F56+'P&amp;L_seasonal'!F57+'P&amp;L_seasonal'!F59</f>
        <v>-200910.37600000002</v>
      </c>
      <c r="G23" s="336">
        <f>+'P&amp;L_seasonal'!G55+'P&amp;L_seasonal'!G56+'P&amp;L_seasonal'!G57+'P&amp;L_seasonal'!G59</f>
        <v>-190193.41</v>
      </c>
      <c r="H23" s="336">
        <f>+'P&amp;L_seasonal'!H55+'P&amp;L_seasonal'!H56+'P&amp;L_seasonal'!H57+'P&amp;L_seasonal'!H59</f>
        <v>-195862.92199999996</v>
      </c>
      <c r="I23" s="336">
        <f>+'P&amp;L_seasonal'!I55+'P&amp;L_seasonal'!I56+'P&amp;L_seasonal'!I57+'P&amp;L_seasonal'!I59</f>
        <v>-194447.61600000001</v>
      </c>
      <c r="J23" s="336">
        <f>+'P&amp;L_seasonal'!J55+'P&amp;L_seasonal'!J56+'P&amp;L_seasonal'!J57+'P&amp;L_seasonal'!J59</f>
        <v>-213604.28699999998</v>
      </c>
      <c r="K23" s="336">
        <f>+'P&amp;L_seasonal'!K55+'P&amp;L_seasonal'!K56+'P&amp;L_seasonal'!K57+'P&amp;L_seasonal'!K59</f>
        <v>-206128.538</v>
      </c>
      <c r="L23" s="336">
        <f>+'P&amp;L_seasonal'!L55+'P&amp;L_seasonal'!L56+'P&amp;L_seasonal'!L57+'P&amp;L_seasonal'!L59</f>
        <v>-206515.535</v>
      </c>
      <c r="M23" s="336">
        <f>+'P&amp;L_seasonal'!M55+'P&amp;L_seasonal'!M56+'P&amp;L_seasonal'!M57+'P&amp;L_seasonal'!M59</f>
        <v>-199029.81099999999</v>
      </c>
      <c r="N23" s="336">
        <f>+'P&amp;L_seasonal'!N55+'P&amp;L_seasonal'!N56+'P&amp;L_seasonal'!N57+'P&amp;L_seasonal'!N59</f>
        <v>-199940.73100000003</v>
      </c>
      <c r="O23" s="339">
        <f>+'P&amp;L_seasonal'!O55+'P&amp;L_seasonal'!O56+'P&amp;L_seasonal'!O57+'P&amp;L_seasonal'!O59</f>
        <v>-201071.49500000002</v>
      </c>
      <c r="P23" s="345">
        <f>'P&amp;L'!I55+'P&amp;L'!I56+'P&amp;L'!I57+'P&amp;L'!I59</f>
        <v>-2419730.2149999999</v>
      </c>
      <c r="Q23" s="339">
        <f>+Q21+Q15</f>
        <v>-913500</v>
      </c>
      <c r="R23" s="336">
        <f t="shared" si="0"/>
        <v>-783518.19199999981</v>
      </c>
      <c r="S23" s="335">
        <f t="shared" si="1"/>
        <v>0.47886104061466117</v>
      </c>
      <c r="T23" s="361"/>
      <c r="V23" s="19" t="s">
        <v>460</v>
      </c>
    </row>
    <row r="24" spans="1:22" s="334" customFormat="1" ht="15.75" x14ac:dyDescent="0.2">
      <c r="A24" s="340" t="s">
        <v>461</v>
      </c>
      <c r="B24" s="345">
        <f>'P&amp;L'!F58</f>
        <v>-138065.486</v>
      </c>
      <c r="C24" s="339">
        <f>'P&amp;L'!H58</f>
        <v>-298813.85600000003</v>
      </c>
      <c r="D24" s="336">
        <f>+'P&amp;L_seasonal'!D58</f>
        <v>-15948.455</v>
      </c>
      <c r="E24" s="336">
        <f>+'P&amp;L_seasonal'!E58</f>
        <v>-15948.455</v>
      </c>
      <c r="F24" s="336">
        <f>+'P&amp;L_seasonal'!F58</f>
        <v>-15533.786</v>
      </c>
      <c r="G24" s="336">
        <f>+'P&amp;L_seasonal'!G58</f>
        <v>-15948.455</v>
      </c>
      <c r="H24" s="336">
        <f>+'P&amp;L_seasonal'!H58</f>
        <v>-16363.124</v>
      </c>
      <c r="I24" s="336">
        <f>+'P&amp;L_seasonal'!I58</f>
        <v>-15119.116</v>
      </c>
      <c r="J24" s="336">
        <f>+'P&amp;L_seasonal'!J58</f>
        <v>-16363.124</v>
      </c>
      <c r="K24" s="336">
        <f>+'P&amp;L_seasonal'!K58</f>
        <v>-15947.686</v>
      </c>
      <c r="L24" s="336">
        <f>+'P&amp;L_seasonal'!L58</f>
        <v>-14288.226000000001</v>
      </c>
      <c r="M24" s="336">
        <f>+'P&amp;L_seasonal'!M58</f>
        <v>-16361.572</v>
      </c>
      <c r="N24" s="336">
        <f>+'P&amp;L_seasonal'!N58</f>
        <v>-15946.903</v>
      </c>
      <c r="O24" s="339">
        <f>+'P&amp;L_seasonal'!O58</f>
        <v>-13873.555</v>
      </c>
      <c r="P24" s="345">
        <f>'P&amp;L'!I58</f>
        <v>-187642.45699999999</v>
      </c>
      <c r="Q24" s="339"/>
      <c r="R24" s="336">
        <f t="shared" si="0"/>
        <v>111171.39900000003</v>
      </c>
      <c r="S24" s="335">
        <f t="shared" si="1"/>
        <v>-0.37204231586904735</v>
      </c>
      <c r="T24" s="361"/>
      <c r="V24" s="19" t="s">
        <v>462</v>
      </c>
    </row>
    <row r="25" spans="1:22" ht="15" outlineLevel="1" x14ac:dyDescent="0.2">
      <c r="A25" s="356" t="s">
        <v>463</v>
      </c>
      <c r="B25" s="671">
        <v>-4630.8680000000004</v>
      </c>
      <c r="C25" s="358">
        <v>-7146</v>
      </c>
      <c r="D25" s="360">
        <v>-1071.94</v>
      </c>
      <c r="E25" s="360">
        <v>-1389.7449999999999</v>
      </c>
      <c r="F25" s="360">
        <v>-895.35199999999998</v>
      </c>
      <c r="G25" s="360">
        <v>-396.35899999999998</v>
      </c>
      <c r="H25" s="360">
        <v>-602.37800000000004</v>
      </c>
      <c r="I25" s="360">
        <v>-393.83199999999999</v>
      </c>
      <c r="J25" s="360">
        <v>-476.61</v>
      </c>
      <c r="K25" s="360">
        <v>-340.02300000000002</v>
      </c>
      <c r="L25" s="360">
        <v>-732.43700000000001</v>
      </c>
      <c r="M25" s="360">
        <v>-374.82299999999998</v>
      </c>
      <c r="N25" s="360">
        <v>-562.43200000000002</v>
      </c>
      <c r="O25" s="359">
        <v>-382.197</v>
      </c>
      <c r="P25" s="353">
        <f>SUM(D25:O25)</f>
        <v>-7618.1279999999997</v>
      </c>
      <c r="Q25" s="352"/>
      <c r="R25" s="222">
        <f t="shared" si="0"/>
        <v>-472.1279999999997</v>
      </c>
      <c r="S25" s="297">
        <f t="shared" si="1"/>
        <v>6.6068849706129251E-2</v>
      </c>
      <c r="T25" s="351"/>
      <c r="V25" s="266" t="s">
        <v>464</v>
      </c>
    </row>
    <row r="26" spans="1:22" ht="15" outlineLevel="1" x14ac:dyDescent="0.2">
      <c r="A26" s="356" t="s">
        <v>465</v>
      </c>
      <c r="B26" s="700">
        <v>-52064.239000000001</v>
      </c>
      <c r="C26" s="701">
        <v>-99365.263999999996</v>
      </c>
      <c r="D26" s="702">
        <v>-8491.1890000000003</v>
      </c>
      <c r="E26" s="703">
        <v>-7295.8029999999999</v>
      </c>
      <c r="F26" s="703">
        <v>-7295.4009999999998</v>
      </c>
      <c r="G26" s="703">
        <v>-6844.2939999999999</v>
      </c>
      <c r="H26" s="703">
        <v>-7233.3209999999999</v>
      </c>
      <c r="I26" s="703">
        <v>-7035.9970000000003</v>
      </c>
      <c r="J26" s="703">
        <v>-8971.8539999999994</v>
      </c>
      <c r="K26" s="703">
        <v>-7635.98</v>
      </c>
      <c r="L26" s="703">
        <v>-7429.4620000000004</v>
      </c>
      <c r="M26" s="703">
        <v>-7106.1409999999996</v>
      </c>
      <c r="N26" s="703">
        <v>-7225.54</v>
      </c>
      <c r="O26" s="703">
        <v>-7290.933</v>
      </c>
      <c r="P26" s="353">
        <f>SUM(D26:O26)</f>
        <v>-89855.915000000008</v>
      </c>
      <c r="Q26" s="352"/>
      <c r="R26" s="222">
        <f t="shared" si="0"/>
        <v>9509.3489999999874</v>
      </c>
      <c r="S26" s="297">
        <f t="shared" si="1"/>
        <v>-9.570093830777715E-2</v>
      </c>
      <c r="T26" s="351" t="s">
        <v>466</v>
      </c>
      <c r="V26" s="266" t="s">
        <v>467</v>
      </c>
    </row>
    <row r="27" spans="1:22" ht="15" outlineLevel="1" x14ac:dyDescent="0.2">
      <c r="A27" s="356" t="s">
        <v>468</v>
      </c>
      <c r="B27" s="671">
        <v>0</v>
      </c>
      <c r="C27" s="358">
        <v>0</v>
      </c>
      <c r="D27" s="355">
        <f t="shared" ref="D27:O29" si="5">$P27/12</f>
        <v>0</v>
      </c>
      <c r="E27" s="355">
        <f t="shared" si="5"/>
        <v>0</v>
      </c>
      <c r="F27" s="355">
        <f t="shared" si="5"/>
        <v>0</v>
      </c>
      <c r="G27" s="355">
        <f t="shared" si="5"/>
        <v>0</v>
      </c>
      <c r="H27" s="355">
        <f t="shared" si="5"/>
        <v>0</v>
      </c>
      <c r="I27" s="355">
        <f t="shared" si="5"/>
        <v>0</v>
      </c>
      <c r="J27" s="355">
        <f t="shared" si="5"/>
        <v>0</v>
      </c>
      <c r="K27" s="355">
        <f t="shared" si="5"/>
        <v>0</v>
      </c>
      <c r="L27" s="355">
        <f t="shared" si="5"/>
        <v>0</v>
      </c>
      <c r="M27" s="355">
        <f t="shared" si="5"/>
        <v>0</v>
      </c>
      <c r="N27" s="355">
        <f t="shared" si="5"/>
        <v>0</v>
      </c>
      <c r="O27" s="354">
        <f t="shared" si="5"/>
        <v>0</v>
      </c>
      <c r="P27" s="357">
        <v>0</v>
      </c>
      <c r="Q27" s="352"/>
      <c r="R27" s="222">
        <f t="shared" si="0"/>
        <v>0</v>
      </c>
      <c r="S27" s="297">
        <f t="shared" si="1"/>
        <v>0</v>
      </c>
      <c r="T27" s="351"/>
      <c r="V27" s="266" t="s">
        <v>469</v>
      </c>
    </row>
    <row r="28" spans="1:22" ht="15" outlineLevel="1" x14ac:dyDescent="0.2">
      <c r="A28" s="356" t="s">
        <v>470</v>
      </c>
      <c r="B28" s="671">
        <v>0</v>
      </c>
      <c r="C28" s="358">
        <v>0</v>
      </c>
      <c r="D28" s="222">
        <f t="shared" si="5"/>
        <v>0</v>
      </c>
      <c r="E28" s="222">
        <f t="shared" si="5"/>
        <v>0</v>
      </c>
      <c r="F28" s="222">
        <f t="shared" si="5"/>
        <v>0</v>
      </c>
      <c r="G28" s="222">
        <f t="shared" si="5"/>
        <v>0</v>
      </c>
      <c r="H28" s="222">
        <f t="shared" si="5"/>
        <v>0</v>
      </c>
      <c r="I28" s="222">
        <f t="shared" si="5"/>
        <v>0</v>
      </c>
      <c r="J28" s="222">
        <f t="shared" si="5"/>
        <v>0</v>
      </c>
      <c r="K28" s="222">
        <f t="shared" si="5"/>
        <v>0</v>
      </c>
      <c r="L28" s="222">
        <f t="shared" si="5"/>
        <v>0</v>
      </c>
      <c r="M28" s="222">
        <f t="shared" si="5"/>
        <v>0</v>
      </c>
      <c r="N28" s="222">
        <f t="shared" si="5"/>
        <v>0</v>
      </c>
      <c r="O28" s="331">
        <f t="shared" si="5"/>
        <v>0</v>
      </c>
      <c r="P28" s="357">
        <v>0</v>
      </c>
      <c r="Q28" s="352"/>
      <c r="R28" s="222">
        <f t="shared" si="0"/>
        <v>0</v>
      </c>
      <c r="S28" s="297">
        <f t="shared" si="1"/>
        <v>0</v>
      </c>
      <c r="T28" s="351"/>
      <c r="V28" s="266" t="s">
        <v>471</v>
      </c>
    </row>
    <row r="29" spans="1:22" ht="15" outlineLevel="1" x14ac:dyDescent="0.2">
      <c r="A29" s="356" t="s">
        <v>441</v>
      </c>
      <c r="B29" s="353">
        <f>B30-B25-B27-B28-B26</f>
        <v>-6980.0589999999938</v>
      </c>
      <c r="C29" s="354">
        <f>C30-C25-C27-C28-C26</f>
        <v>-9679.5970000000088</v>
      </c>
      <c r="D29" s="355">
        <f t="shared" si="5"/>
        <v>-520.3756666666668</v>
      </c>
      <c r="E29" s="355">
        <f t="shared" si="5"/>
        <v>-520.3756666666668</v>
      </c>
      <c r="F29" s="355">
        <f t="shared" si="5"/>
        <v>-520.3756666666668</v>
      </c>
      <c r="G29" s="355">
        <f t="shared" si="5"/>
        <v>-520.3756666666668</v>
      </c>
      <c r="H29" s="355">
        <f t="shared" si="5"/>
        <v>-520.3756666666668</v>
      </c>
      <c r="I29" s="355">
        <f t="shared" si="5"/>
        <v>-520.3756666666668</v>
      </c>
      <c r="J29" s="355">
        <f t="shared" si="5"/>
        <v>-520.3756666666668</v>
      </c>
      <c r="K29" s="355">
        <f t="shared" si="5"/>
        <v>-520.3756666666668</v>
      </c>
      <c r="L29" s="355">
        <f t="shared" si="5"/>
        <v>-520.3756666666668</v>
      </c>
      <c r="M29" s="355">
        <f t="shared" si="5"/>
        <v>-520.3756666666668</v>
      </c>
      <c r="N29" s="355">
        <f t="shared" si="5"/>
        <v>-520.3756666666668</v>
      </c>
      <c r="O29" s="354">
        <f t="shared" si="5"/>
        <v>-520.3756666666668</v>
      </c>
      <c r="P29" s="353">
        <f>P30-P25-P27-P28-P26</f>
        <v>-6244.5080000000016</v>
      </c>
      <c r="Q29" s="352"/>
      <c r="R29" s="222">
        <f t="shared" si="0"/>
        <v>3435.0890000000072</v>
      </c>
      <c r="S29" s="297">
        <f t="shared" si="1"/>
        <v>-0.35487934053452885</v>
      </c>
      <c r="T29" s="351"/>
      <c r="V29" s="266" t="s">
        <v>472</v>
      </c>
    </row>
    <row r="30" spans="1:22" s="334" customFormat="1" ht="15.75" x14ac:dyDescent="0.2">
      <c r="A30" s="340" t="s">
        <v>473</v>
      </c>
      <c r="B30" s="345">
        <f>'P&amp;L'!F83</f>
        <v>-63675.165999999997</v>
      </c>
      <c r="C30" s="339">
        <f>'P&amp;L'!H83</f>
        <v>-116190.861</v>
      </c>
      <c r="D30" s="336">
        <f t="shared" ref="D30:O30" si="6">+D25+D27+D26+D28+D29</f>
        <v>-10083.504666666668</v>
      </c>
      <c r="E30" s="336">
        <f t="shared" si="6"/>
        <v>-9205.9236666666657</v>
      </c>
      <c r="F30" s="336">
        <f t="shared" si="6"/>
        <v>-8711.1286666666674</v>
      </c>
      <c r="G30" s="336">
        <f t="shared" si="6"/>
        <v>-7761.028666666667</v>
      </c>
      <c r="H30" s="336">
        <f t="shared" si="6"/>
        <v>-8356.0746666666673</v>
      </c>
      <c r="I30" s="336">
        <f t="shared" si="6"/>
        <v>-7950.2046666666674</v>
      </c>
      <c r="J30" s="336">
        <f t="shared" si="6"/>
        <v>-9968.8396666666667</v>
      </c>
      <c r="K30" s="336">
        <f t="shared" si="6"/>
        <v>-8496.3786666666674</v>
      </c>
      <c r="L30" s="336">
        <f t="shared" si="6"/>
        <v>-8682.2746666666681</v>
      </c>
      <c r="M30" s="336">
        <f t="shared" si="6"/>
        <v>-8001.3396666666667</v>
      </c>
      <c r="N30" s="336">
        <f t="shared" si="6"/>
        <v>-8308.3476666666666</v>
      </c>
      <c r="O30" s="339">
        <f t="shared" si="6"/>
        <v>-8193.5056666666678</v>
      </c>
      <c r="P30" s="345">
        <f>'P&amp;L'!I83</f>
        <v>-103718.55100000001</v>
      </c>
      <c r="Q30" s="339">
        <f>SUM(Q25:Q29)</f>
        <v>0</v>
      </c>
      <c r="R30" s="336">
        <f t="shared" si="0"/>
        <v>12472.309999999998</v>
      </c>
      <c r="S30" s="335">
        <f t="shared" si="1"/>
        <v>-0.10734329613066551</v>
      </c>
      <c r="T30" s="913"/>
      <c r="V30" s="19" t="s">
        <v>474</v>
      </c>
    </row>
    <row r="31" spans="1:22" s="334" customFormat="1" ht="15.75" x14ac:dyDescent="0.2">
      <c r="A31" s="340" t="s">
        <v>475</v>
      </c>
      <c r="B31" s="345">
        <f>'P&amp;L'!F80-'P&amp;L'!F83</f>
        <v>-96236.019</v>
      </c>
      <c r="C31" s="339">
        <f>'P&amp;L'!H80-'P&amp;L'!H83</f>
        <v>-202724.87700000001</v>
      </c>
      <c r="D31" s="336">
        <f t="shared" ref="D31:O31" si="7">$P$31/12</f>
        <v>-20579.528999999999</v>
      </c>
      <c r="E31" s="336">
        <f t="shared" si="7"/>
        <v>-20579.528999999999</v>
      </c>
      <c r="F31" s="336">
        <f t="shared" si="7"/>
        <v>-20579.528999999999</v>
      </c>
      <c r="G31" s="336">
        <f t="shared" si="7"/>
        <v>-20579.528999999999</v>
      </c>
      <c r="H31" s="336">
        <f t="shared" si="7"/>
        <v>-20579.528999999999</v>
      </c>
      <c r="I31" s="336">
        <f t="shared" si="7"/>
        <v>-20579.528999999999</v>
      </c>
      <c r="J31" s="336">
        <f t="shared" si="7"/>
        <v>-20579.528999999999</v>
      </c>
      <c r="K31" s="336">
        <f t="shared" si="7"/>
        <v>-20579.528999999999</v>
      </c>
      <c r="L31" s="336">
        <f t="shared" si="7"/>
        <v>-20579.528999999999</v>
      </c>
      <c r="M31" s="336">
        <f t="shared" si="7"/>
        <v>-20579.528999999999</v>
      </c>
      <c r="N31" s="336">
        <f t="shared" si="7"/>
        <v>-20579.528999999999</v>
      </c>
      <c r="O31" s="339">
        <f t="shared" si="7"/>
        <v>-20579.528999999999</v>
      </c>
      <c r="P31" s="345">
        <f>'P&amp;L'!I80-'P&amp;L'!I83</f>
        <v>-246954.34799999997</v>
      </c>
      <c r="Q31" s="339"/>
      <c r="R31" s="336">
        <f t="shared" si="0"/>
        <v>-44229.470999999961</v>
      </c>
      <c r="S31" s="335">
        <f t="shared" si="1"/>
        <v>0.21817485675425985</v>
      </c>
      <c r="T31" s="913"/>
      <c r="V31" s="19" t="s">
        <v>476</v>
      </c>
    </row>
    <row r="32" spans="1:22" s="334" customFormat="1" ht="15.75" x14ac:dyDescent="0.2">
      <c r="A32" s="340" t="s">
        <v>477</v>
      </c>
      <c r="B32" s="345">
        <f>'P&amp;L'!F65</f>
        <v>-604405.44400000002</v>
      </c>
      <c r="C32" s="339">
        <f>'P&amp;L'!H65</f>
        <v>-1345555.0919999999</v>
      </c>
      <c r="D32" s="336">
        <f t="shared" ref="D32:O32" si="8">$P$32/12</f>
        <v>-151133.149</v>
      </c>
      <c r="E32" s="336">
        <f t="shared" si="8"/>
        <v>-151133.149</v>
      </c>
      <c r="F32" s="336">
        <f t="shared" si="8"/>
        <v>-151133.149</v>
      </c>
      <c r="G32" s="336">
        <f t="shared" si="8"/>
        <v>-151133.149</v>
      </c>
      <c r="H32" s="336">
        <f t="shared" si="8"/>
        <v>-151133.149</v>
      </c>
      <c r="I32" s="336">
        <f t="shared" si="8"/>
        <v>-151133.149</v>
      </c>
      <c r="J32" s="336">
        <f t="shared" si="8"/>
        <v>-151133.149</v>
      </c>
      <c r="K32" s="336">
        <f t="shared" si="8"/>
        <v>-151133.149</v>
      </c>
      <c r="L32" s="336">
        <f t="shared" si="8"/>
        <v>-151133.149</v>
      </c>
      <c r="M32" s="336">
        <f t="shared" si="8"/>
        <v>-151133.149</v>
      </c>
      <c r="N32" s="336">
        <f t="shared" si="8"/>
        <v>-151133.149</v>
      </c>
      <c r="O32" s="339">
        <f t="shared" si="8"/>
        <v>-151133.149</v>
      </c>
      <c r="P32" s="345">
        <f>'P&amp;L'!I65</f>
        <v>-1813597.7879999999</v>
      </c>
      <c r="Q32" s="339"/>
      <c r="R32" s="336">
        <f t="shared" si="0"/>
        <v>-468042.696</v>
      </c>
      <c r="S32" s="335">
        <f t="shared" si="1"/>
        <v>0.34784357681283251</v>
      </c>
      <c r="T32" s="913"/>
      <c r="V32" s="19" t="s">
        <v>478</v>
      </c>
    </row>
    <row r="33" spans="1:22" s="334" customFormat="1" ht="15.75" x14ac:dyDescent="0.2">
      <c r="A33" s="340" t="s">
        <v>479</v>
      </c>
      <c r="B33" s="345">
        <f>'P&amp;L'!F85</f>
        <v>-179176.00399999999</v>
      </c>
      <c r="C33" s="339">
        <f>'P&amp;L'!H85</f>
        <v>-365776.37400000001</v>
      </c>
      <c r="D33" s="336">
        <f t="shared" ref="D33:O33" si="9">$P$33/12</f>
        <v>-39390.931333333334</v>
      </c>
      <c r="E33" s="336">
        <f t="shared" si="9"/>
        <v>-39390.931333333334</v>
      </c>
      <c r="F33" s="336">
        <f t="shared" si="9"/>
        <v>-39390.931333333334</v>
      </c>
      <c r="G33" s="336">
        <f t="shared" si="9"/>
        <v>-39390.931333333334</v>
      </c>
      <c r="H33" s="336">
        <f t="shared" si="9"/>
        <v>-39390.931333333334</v>
      </c>
      <c r="I33" s="336">
        <f t="shared" si="9"/>
        <v>-39390.931333333334</v>
      </c>
      <c r="J33" s="336">
        <f t="shared" si="9"/>
        <v>-39390.931333333334</v>
      </c>
      <c r="K33" s="336">
        <f t="shared" si="9"/>
        <v>-39390.931333333334</v>
      </c>
      <c r="L33" s="336">
        <f t="shared" si="9"/>
        <v>-39390.931333333334</v>
      </c>
      <c r="M33" s="336">
        <f t="shared" si="9"/>
        <v>-39390.931333333334</v>
      </c>
      <c r="N33" s="336">
        <f t="shared" si="9"/>
        <v>-39390.931333333334</v>
      </c>
      <c r="O33" s="339">
        <f t="shared" si="9"/>
        <v>-39390.931333333334</v>
      </c>
      <c r="P33" s="345">
        <f>'P&amp;L'!I85</f>
        <v>-472691.17599999998</v>
      </c>
      <c r="Q33" s="339"/>
      <c r="R33" s="336">
        <f t="shared" si="0"/>
        <v>-106914.80199999997</v>
      </c>
      <c r="S33" s="335">
        <f t="shared" si="1"/>
        <v>0.29229553792886565</v>
      </c>
      <c r="T33" s="913"/>
      <c r="V33" s="19" t="s">
        <v>480</v>
      </c>
    </row>
    <row r="34" spans="1:22" s="334" customFormat="1" ht="15.75" x14ac:dyDescent="0.2">
      <c r="A34" s="340" t="s">
        <v>481</v>
      </c>
      <c r="B34" s="343">
        <f t="shared" ref="B34" si="10">+B23+B24+B30+B31+B32+B33</f>
        <v>-1900962.0540000002</v>
      </c>
      <c r="C34" s="342">
        <f t="shared" ref="C34:Q34" si="11">+C23+C24+C30+C31+C32+C33</f>
        <v>-3965273.0829999996</v>
      </c>
      <c r="D34" s="344">
        <f t="shared" si="11"/>
        <v>-442456.18899999995</v>
      </c>
      <c r="E34" s="344">
        <f t="shared" si="11"/>
        <v>-442962.86200000002</v>
      </c>
      <c r="F34" s="344">
        <f t="shared" si="11"/>
        <v>-436258.89999999997</v>
      </c>
      <c r="G34" s="344">
        <f t="shared" si="11"/>
        <v>-425006.50299999997</v>
      </c>
      <c r="H34" s="344">
        <f t="shared" si="11"/>
        <v>-431685.73</v>
      </c>
      <c r="I34" s="344">
        <f t="shared" si="11"/>
        <v>-428620.54600000003</v>
      </c>
      <c r="J34" s="344">
        <f t="shared" si="11"/>
        <v>-451039.86</v>
      </c>
      <c r="K34" s="344">
        <f t="shared" si="11"/>
        <v>-441676.212</v>
      </c>
      <c r="L34" s="344">
        <f t="shared" si="11"/>
        <v>-440589.64499999996</v>
      </c>
      <c r="M34" s="344">
        <f t="shared" si="11"/>
        <v>-434496.33199999999</v>
      </c>
      <c r="N34" s="344">
        <f t="shared" si="11"/>
        <v>-435299.59100000001</v>
      </c>
      <c r="O34" s="342">
        <f t="shared" si="11"/>
        <v>-434242.16499999998</v>
      </c>
      <c r="P34" s="343">
        <f t="shared" si="11"/>
        <v>-5244334.5349999992</v>
      </c>
      <c r="Q34" s="342">
        <f t="shared" si="11"/>
        <v>-913500</v>
      </c>
      <c r="R34" s="344">
        <f t="shared" si="0"/>
        <v>-1279061.4519999996</v>
      </c>
      <c r="S34" s="335">
        <f t="shared" si="1"/>
        <v>0.32256579187032997</v>
      </c>
      <c r="T34" s="928"/>
      <c r="V34" s="19" t="s">
        <v>482</v>
      </c>
    </row>
    <row r="35" spans="1:22" ht="15" x14ac:dyDescent="0.25">
      <c r="A35" s="350"/>
      <c r="B35" s="346"/>
      <c r="C35" s="349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9"/>
      <c r="P35" s="346"/>
      <c r="Q35" s="349"/>
      <c r="R35" s="348"/>
      <c r="S35" s="347"/>
      <c r="T35" s="346"/>
      <c r="V35" s="266"/>
    </row>
    <row r="36" spans="1:22" s="334" customFormat="1" ht="15.75" x14ac:dyDescent="0.2">
      <c r="A36" s="340" t="s">
        <v>483</v>
      </c>
      <c r="B36" s="345">
        <f t="shared" ref="B36" si="12">+B15</f>
        <v>-531505.30700000003</v>
      </c>
      <c r="C36" s="339">
        <f t="shared" ref="C36:R36" si="13">+C15</f>
        <v>-932423.47899999993</v>
      </c>
      <c r="D36" s="336">
        <f t="shared" si="13"/>
        <v>-93600.195999999996</v>
      </c>
      <c r="E36" s="336">
        <f t="shared" si="13"/>
        <v>-94984.45</v>
      </c>
      <c r="F36" s="336">
        <f t="shared" si="13"/>
        <v>-89189.95199999999</v>
      </c>
      <c r="G36" s="336">
        <f t="shared" si="13"/>
        <v>-78472.98599999999</v>
      </c>
      <c r="H36" s="336">
        <f t="shared" si="13"/>
        <v>-84142.497999999992</v>
      </c>
      <c r="I36" s="336">
        <f t="shared" si="13"/>
        <v>-82727.191999999995</v>
      </c>
      <c r="J36" s="336">
        <f t="shared" si="13"/>
        <v>-101883.863</v>
      </c>
      <c r="K36" s="336">
        <f t="shared" si="13"/>
        <v>-94408.113999999987</v>
      </c>
      <c r="L36" s="336">
        <f t="shared" si="13"/>
        <v>-94795.11099999999</v>
      </c>
      <c r="M36" s="336">
        <f t="shared" si="13"/>
        <v>-87309.387000000002</v>
      </c>
      <c r="N36" s="336">
        <f t="shared" si="13"/>
        <v>-88220.306999999986</v>
      </c>
      <c r="O36" s="339">
        <f t="shared" si="13"/>
        <v>-89351.070999999996</v>
      </c>
      <c r="P36" s="345">
        <f t="shared" si="13"/>
        <v>-1079085.1270000001</v>
      </c>
      <c r="Q36" s="339">
        <f t="shared" si="13"/>
        <v>-913500</v>
      </c>
      <c r="R36" s="336">
        <f t="shared" si="13"/>
        <v>-146661.64800000016</v>
      </c>
      <c r="S36" s="335">
        <f>IFERROR(P36/C36-1,0)</f>
        <v>0.1572908139950433</v>
      </c>
      <c r="T36" s="912"/>
      <c r="V36" s="19"/>
    </row>
    <row r="37" spans="1:22" ht="15.75" x14ac:dyDescent="0.2">
      <c r="A37" s="914" t="s">
        <v>484</v>
      </c>
      <c r="B37" s="915">
        <f t="shared" ref="B37" si="14">IFERROR(B36/B$7,0)</f>
        <v>-5.2333195108254731E-2</v>
      </c>
      <c r="C37" s="917">
        <f t="shared" ref="C37:R37" si="15">IFERROR(C36/C$7,0)</f>
        <v>-4.3957835286340084E-2</v>
      </c>
      <c r="D37" s="916">
        <f t="shared" si="15"/>
        <v>-5.3804671910581643E-2</v>
      </c>
      <c r="E37" s="916">
        <f t="shared" si="15"/>
        <v>-5.4599992762189714E-2</v>
      </c>
      <c r="F37" s="916">
        <f t="shared" si="15"/>
        <v>-5.2595542317519527E-2</v>
      </c>
      <c r="G37" s="916">
        <f t="shared" si="15"/>
        <v>-4.5108693766478768E-2</v>
      </c>
      <c r="H37" s="916">
        <f t="shared" si="15"/>
        <v>-4.7176841629586359E-2</v>
      </c>
      <c r="I37" s="916">
        <f t="shared" si="15"/>
        <v>-4.9703244256669082E-2</v>
      </c>
      <c r="J37" s="916">
        <f t="shared" si="15"/>
        <v>-5.6661803025565831E-2</v>
      </c>
      <c r="K37" s="916">
        <f t="shared" si="15"/>
        <v>-5.3841173026880983E-2</v>
      </c>
      <c r="L37" s="916">
        <f t="shared" si="15"/>
        <v>-6.0178983762706473E-2</v>
      </c>
      <c r="M37" s="916">
        <f t="shared" si="15"/>
        <v>-4.8558682776766178E-2</v>
      </c>
      <c r="N37" s="916">
        <f t="shared" si="15"/>
        <v>-5.031309567372666E-2</v>
      </c>
      <c r="O37" s="917">
        <f t="shared" si="15"/>
        <v>-5.8374831237756129E-2</v>
      </c>
      <c r="P37" s="915">
        <f t="shared" si="15"/>
        <v>-5.2455268857809857E-2</v>
      </c>
      <c r="Q37" s="917">
        <f t="shared" si="15"/>
        <v>0</v>
      </c>
      <c r="R37" s="916">
        <f t="shared" si="15"/>
        <v>0.22907295879102985</v>
      </c>
      <c r="S37" s="918"/>
      <c r="T37" s="912"/>
      <c r="V37" s="266"/>
    </row>
    <row r="38" spans="1:22" s="334" customFormat="1" ht="15.75" x14ac:dyDescent="0.2">
      <c r="A38" s="340" t="s">
        <v>485</v>
      </c>
      <c r="B38" s="345">
        <f t="shared" ref="B38" si="16">+B21+B22</f>
        <v>-287898.62800000003</v>
      </c>
      <c r="C38" s="339">
        <f>+C21</f>
        <v>-703788.54399999999</v>
      </c>
      <c r="D38" s="336">
        <f t="shared" ref="D38:R38" si="17">+D21+D22</f>
        <v>-111720.424</v>
      </c>
      <c r="E38" s="336">
        <f t="shared" si="17"/>
        <v>-111720.424</v>
      </c>
      <c r="F38" s="336">
        <f t="shared" si="17"/>
        <v>-111720.424</v>
      </c>
      <c r="G38" s="336">
        <f t="shared" si="17"/>
        <v>-111720.424</v>
      </c>
      <c r="H38" s="336">
        <f t="shared" si="17"/>
        <v>-111720.424</v>
      </c>
      <c r="I38" s="336">
        <f t="shared" si="17"/>
        <v>-111720.424</v>
      </c>
      <c r="J38" s="336">
        <f t="shared" si="17"/>
        <v>-111720.424</v>
      </c>
      <c r="K38" s="336">
        <f t="shared" si="17"/>
        <v>-111720.424</v>
      </c>
      <c r="L38" s="336">
        <f t="shared" si="17"/>
        <v>-111720.424</v>
      </c>
      <c r="M38" s="336">
        <f t="shared" si="17"/>
        <v>-111720.424</v>
      </c>
      <c r="N38" s="336">
        <f t="shared" si="17"/>
        <v>-111720.424</v>
      </c>
      <c r="O38" s="339">
        <f t="shared" si="17"/>
        <v>-111720.424</v>
      </c>
      <c r="P38" s="345">
        <f t="shared" si="17"/>
        <v>-1340645.088</v>
      </c>
      <c r="Q38" s="339">
        <f t="shared" si="17"/>
        <v>0</v>
      </c>
      <c r="R38" s="336">
        <f t="shared" si="17"/>
        <v>-636856.54399999999</v>
      </c>
      <c r="S38" s="335">
        <f>IFERROR(P38/C38-1,0)</f>
        <v>0.90489757105225066</v>
      </c>
      <c r="T38" s="912"/>
      <c r="V38" s="19"/>
    </row>
    <row r="39" spans="1:22" ht="15.75" x14ac:dyDescent="0.25">
      <c r="A39" s="914" t="s">
        <v>484</v>
      </c>
      <c r="B39" s="915">
        <f t="shared" ref="B39" si="18">IFERROR(B38/B$7,0)</f>
        <v>-2.8347139477429242E-2</v>
      </c>
      <c r="C39" s="917">
        <f t="shared" ref="C39:R39" si="19">IFERROR(C38/C$7,0)</f>
        <v>-3.3179152595711414E-2</v>
      </c>
      <c r="D39" s="916">
        <f t="shared" si="19"/>
        <v>-6.4220813800764595E-2</v>
      </c>
      <c r="E39" s="916">
        <f t="shared" si="19"/>
        <v>-6.4220347033527761E-2</v>
      </c>
      <c r="F39" s="916">
        <f t="shared" si="19"/>
        <v>-6.5881819156301646E-2</v>
      </c>
      <c r="G39" s="916">
        <f t="shared" si="19"/>
        <v>-6.4220347033527761E-2</v>
      </c>
      <c r="H39" s="916">
        <f t="shared" si="19"/>
        <v>-6.2639176101453975E-2</v>
      </c>
      <c r="I39" s="916">
        <f t="shared" si="19"/>
        <v>-6.7122639948067317E-2</v>
      </c>
      <c r="J39" s="916">
        <f t="shared" si="19"/>
        <v>-6.2132318820898043E-2</v>
      </c>
      <c r="K39" s="916">
        <f t="shared" si="19"/>
        <v>-6.3714424792137125E-2</v>
      </c>
      <c r="L39" s="916">
        <f t="shared" si="19"/>
        <v>-7.0923716539122814E-2</v>
      </c>
      <c r="M39" s="916">
        <f t="shared" si="19"/>
        <v>-6.2135319180534554E-2</v>
      </c>
      <c r="N39" s="916">
        <f t="shared" si="19"/>
        <v>-6.3715493320844016E-2</v>
      </c>
      <c r="O39" s="917">
        <f t="shared" si="19"/>
        <v>-7.2989174319024783E-2</v>
      </c>
      <c r="P39" s="915">
        <f t="shared" si="19"/>
        <v>-6.5169926611306314E-2</v>
      </c>
      <c r="Q39" s="917">
        <f t="shared" si="19"/>
        <v>0</v>
      </c>
      <c r="R39" s="916">
        <f t="shared" si="19"/>
        <v>0.99471548867028636</v>
      </c>
      <c r="S39" s="918"/>
      <c r="T39" s="912"/>
      <c r="U39" s="348"/>
      <c r="V39" s="266"/>
    </row>
    <row r="40" spans="1:22" s="334" customFormat="1" ht="15.75" x14ac:dyDescent="0.2">
      <c r="A40" s="340" t="s">
        <v>459</v>
      </c>
      <c r="B40" s="343">
        <f t="shared" ref="B40" si="20">+B36+B38</f>
        <v>-819403.93500000006</v>
      </c>
      <c r="C40" s="342">
        <f>+C36+C38</f>
        <v>-1636212.023</v>
      </c>
      <c r="D40" s="344">
        <f t="shared" ref="D40:R40" si="21">+D36+D38</f>
        <v>-205320.62</v>
      </c>
      <c r="E40" s="344">
        <f t="shared" si="21"/>
        <v>-206704.87400000001</v>
      </c>
      <c r="F40" s="344">
        <f t="shared" si="21"/>
        <v>-200910.37599999999</v>
      </c>
      <c r="G40" s="344">
        <f t="shared" si="21"/>
        <v>-190193.40999999997</v>
      </c>
      <c r="H40" s="344">
        <f t="shared" si="21"/>
        <v>-195862.92199999999</v>
      </c>
      <c r="I40" s="344">
        <f t="shared" si="21"/>
        <v>-194447.61599999998</v>
      </c>
      <c r="J40" s="344">
        <f t="shared" si="21"/>
        <v>-213604.28700000001</v>
      </c>
      <c r="K40" s="344">
        <f t="shared" si="21"/>
        <v>-206128.538</v>
      </c>
      <c r="L40" s="344">
        <f t="shared" si="21"/>
        <v>-206515.53499999997</v>
      </c>
      <c r="M40" s="344">
        <f t="shared" si="21"/>
        <v>-199029.81099999999</v>
      </c>
      <c r="N40" s="344">
        <f t="shared" si="21"/>
        <v>-199940.73099999997</v>
      </c>
      <c r="O40" s="342">
        <f t="shared" si="21"/>
        <v>-201071.495</v>
      </c>
      <c r="P40" s="343">
        <f t="shared" si="21"/>
        <v>-2419730.2149999999</v>
      </c>
      <c r="Q40" s="342">
        <f t="shared" si="21"/>
        <v>-913500</v>
      </c>
      <c r="R40" s="336">
        <f t="shared" si="21"/>
        <v>-783518.19200000016</v>
      </c>
      <c r="S40" s="335">
        <f>IFERROR(P40/C40-1,0)</f>
        <v>0.47886104061466117</v>
      </c>
      <c r="T40" s="912"/>
      <c r="V40" s="19"/>
    </row>
    <row r="41" spans="1:22" ht="15.75" x14ac:dyDescent="0.25">
      <c r="A41" s="914" t="s">
        <v>484</v>
      </c>
      <c r="B41" s="920">
        <f t="shared" ref="B41" si="22">IFERROR(B40/B$7,0)</f>
        <v>-8.0680334585683966E-2</v>
      </c>
      <c r="C41" s="924">
        <f t="shared" ref="C41:R41" si="23">IFERROR(C40/C$7,0)</f>
        <v>-7.7136987882051505E-2</v>
      </c>
      <c r="D41" s="923">
        <f t="shared" si="23"/>
        <v>-0.11802548571134625</v>
      </c>
      <c r="E41" s="923">
        <f t="shared" si="23"/>
        <v>-0.11882033979571749</v>
      </c>
      <c r="F41" s="923">
        <f t="shared" si="23"/>
        <v>-0.11847736147382117</v>
      </c>
      <c r="G41" s="923">
        <f t="shared" si="23"/>
        <v>-0.10932904080000652</v>
      </c>
      <c r="H41" s="923">
        <f t="shared" si="23"/>
        <v>-0.10981601773104034</v>
      </c>
      <c r="I41" s="923">
        <f t="shared" si="23"/>
        <v>-0.11682588420473639</v>
      </c>
      <c r="J41" s="923">
        <f t="shared" si="23"/>
        <v>-0.11879412184646387</v>
      </c>
      <c r="K41" s="923">
        <f t="shared" si="23"/>
        <v>-0.11755559781901812</v>
      </c>
      <c r="L41" s="923">
        <f t="shared" si="23"/>
        <v>-0.13110270030182927</v>
      </c>
      <c r="M41" s="923">
        <f t="shared" si="23"/>
        <v>-0.11069400195730073</v>
      </c>
      <c r="N41" s="923">
        <f t="shared" si="23"/>
        <v>-0.11402858899457068</v>
      </c>
      <c r="O41" s="924">
        <f t="shared" si="23"/>
        <v>-0.13136400555678091</v>
      </c>
      <c r="P41" s="925">
        <f t="shared" si="23"/>
        <v>-0.11762519546911616</v>
      </c>
      <c r="Q41" s="924">
        <f t="shared" si="23"/>
        <v>0</v>
      </c>
      <c r="R41" s="923">
        <f t="shared" si="23"/>
        <v>1.2237884474613163</v>
      </c>
      <c r="S41" s="924"/>
      <c r="T41" s="913"/>
      <c r="U41" s="341"/>
    </row>
    <row r="42" spans="1:22" s="334" customFormat="1" ht="15.75" x14ac:dyDescent="0.2">
      <c r="A42" s="340" t="s">
        <v>486</v>
      </c>
      <c r="B42" s="338">
        <f t="shared" ref="B42" si="24">+B8+B26</f>
        <v>-358030.10600000003</v>
      </c>
      <c r="C42" s="339">
        <f t="shared" ref="C42:R42" si="25">+C8+C26</f>
        <v>-714857.89799999993</v>
      </c>
      <c r="D42" s="336">
        <f t="shared" si="25"/>
        <v>-62786.682000000001</v>
      </c>
      <c r="E42" s="336">
        <f t="shared" si="25"/>
        <v>-61510.841999999997</v>
      </c>
      <c r="F42" s="336">
        <f t="shared" si="25"/>
        <v>-61657.716999999997</v>
      </c>
      <c r="G42" s="336">
        <f t="shared" si="25"/>
        <v>-57010.733</v>
      </c>
      <c r="H42" s="336">
        <f t="shared" si="25"/>
        <v>-60338.66</v>
      </c>
      <c r="I42" s="336">
        <f t="shared" si="25"/>
        <v>-61160.244000000006</v>
      </c>
      <c r="J42" s="336">
        <f t="shared" si="25"/>
        <v>-77661.304000000004</v>
      </c>
      <c r="K42" s="336">
        <f t="shared" si="25"/>
        <v>-73623.21699999999</v>
      </c>
      <c r="L42" s="336">
        <f t="shared" si="25"/>
        <v>-65816.986000000004</v>
      </c>
      <c r="M42" s="336">
        <f t="shared" si="25"/>
        <v>-65483.229000000007</v>
      </c>
      <c r="N42" s="336">
        <f t="shared" si="25"/>
        <v>-64568.07</v>
      </c>
      <c r="O42" s="339">
        <f t="shared" si="25"/>
        <v>-67490.271000000008</v>
      </c>
      <c r="P42" s="338">
        <f t="shared" si="25"/>
        <v>-779107.95500000007</v>
      </c>
      <c r="Q42" s="337">
        <f t="shared" si="25"/>
        <v>-913500</v>
      </c>
      <c r="R42" s="336">
        <f t="shared" si="25"/>
        <v>-64250.057000000088</v>
      </c>
      <c r="S42" s="335">
        <f>IFERROR(P42/C42-1,0)</f>
        <v>8.9878082315039576E-2</v>
      </c>
      <c r="T42" s="913"/>
      <c r="V42" s="19"/>
    </row>
    <row r="43" spans="1:22" ht="15.75" x14ac:dyDescent="0.2">
      <c r="A43" s="914" t="s">
        <v>484</v>
      </c>
      <c r="B43" s="926">
        <f t="shared" ref="B43" si="26">IFERROR(B42/B$7,0)</f>
        <v>-3.5252440841436646E-2</v>
      </c>
      <c r="C43" s="911">
        <f t="shared" ref="C43:R43" si="27">IFERROR(C42/C$7,0)</f>
        <v>-3.3701002217494891E-2</v>
      </c>
      <c r="D43" s="916">
        <f t="shared" si="27"/>
        <v>-3.6091984522810427E-2</v>
      </c>
      <c r="E43" s="916">
        <f t="shared" si="27"/>
        <v>-3.5358330000291573E-2</v>
      </c>
      <c r="F43" s="916">
        <f t="shared" si="27"/>
        <v>-3.6359713072557129E-2</v>
      </c>
      <c r="G43" s="916">
        <f t="shared" si="27"/>
        <v>-3.2771528488790856E-2</v>
      </c>
      <c r="H43" s="916">
        <f t="shared" si="27"/>
        <v>-3.3830555006359064E-2</v>
      </c>
      <c r="I43" s="916">
        <f t="shared" si="27"/>
        <v>-3.6745627076638601E-2</v>
      </c>
      <c r="J43" s="916">
        <f t="shared" si="27"/>
        <v>-4.3190642564824896E-2</v>
      </c>
      <c r="K43" s="916">
        <f t="shared" si="27"/>
        <v>-4.1987496596877318E-2</v>
      </c>
      <c r="L43" s="916">
        <f t="shared" si="27"/>
        <v>-4.178273847692715E-2</v>
      </c>
      <c r="M43" s="916">
        <f t="shared" si="27"/>
        <v>-3.6419673227225106E-2</v>
      </c>
      <c r="N43" s="916">
        <f t="shared" si="27"/>
        <v>-3.6823942172156357E-2</v>
      </c>
      <c r="O43" s="917">
        <f t="shared" si="27"/>
        <v>-4.4092735942867736E-2</v>
      </c>
      <c r="P43" s="926">
        <f t="shared" si="27"/>
        <v>-3.7873116982348534E-2</v>
      </c>
      <c r="Q43" s="917">
        <f t="shared" si="27"/>
        <v>0</v>
      </c>
      <c r="R43" s="916">
        <f t="shared" si="27"/>
        <v>0.10035309748791534</v>
      </c>
      <c r="S43" s="918"/>
      <c r="T43" s="912"/>
      <c r="V43" s="266"/>
    </row>
    <row r="44" spans="1:22" x14ac:dyDescent="0.2"/>
    <row r="45" spans="1:22" x14ac:dyDescent="0.2"/>
    <row r="46" spans="1:22" x14ac:dyDescent="0.2">
      <c r="A46" s="220" t="s">
        <v>487</v>
      </c>
      <c r="B46" s="96">
        <f>+B40-B23</f>
        <v>0</v>
      </c>
      <c r="C46" s="96">
        <f t="shared" ref="C46:Q46" si="28">+C40-C23</f>
        <v>0</v>
      </c>
      <c r="D46" s="96">
        <f t="shared" si="28"/>
        <v>0</v>
      </c>
      <c r="E46" s="96">
        <f t="shared" si="28"/>
        <v>0</v>
      </c>
      <c r="F46" s="96">
        <f t="shared" si="28"/>
        <v>0</v>
      </c>
      <c r="G46" s="96">
        <f t="shared" si="28"/>
        <v>0</v>
      </c>
      <c r="H46" s="96">
        <f t="shared" si="28"/>
        <v>0</v>
      </c>
      <c r="I46" s="96">
        <f t="shared" si="28"/>
        <v>0</v>
      </c>
      <c r="J46" s="96">
        <f t="shared" si="28"/>
        <v>0</v>
      </c>
      <c r="K46" s="96">
        <f t="shared" si="28"/>
        <v>0</v>
      </c>
      <c r="L46" s="96">
        <f t="shared" si="28"/>
        <v>0</v>
      </c>
      <c r="M46" s="96">
        <f t="shared" si="28"/>
        <v>0</v>
      </c>
      <c r="N46" s="96">
        <f t="shared" si="28"/>
        <v>0</v>
      </c>
      <c r="O46" s="96">
        <f t="shared" si="28"/>
        <v>0</v>
      </c>
      <c r="P46" s="96">
        <f t="shared" si="28"/>
        <v>0</v>
      </c>
      <c r="Q46" s="96">
        <f t="shared" si="28"/>
        <v>0</v>
      </c>
      <c r="R46" s="96"/>
    </row>
  </sheetData>
  <mergeCells count="3">
    <mergeCell ref="D4:O4"/>
    <mergeCell ref="P4:Q4"/>
    <mergeCell ref="B4:C4"/>
  </mergeCells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Normal="100" workbookViewId="0">
      <pane xSplit="1" ySplit="6" topLeftCell="B7" activePane="bottomRight" state="frozen"/>
      <selection pane="topRight" activeCell="H16" sqref="H16"/>
      <selection pane="bottomLeft" activeCell="H16" sqref="H16"/>
      <selection pane="bottomRight" activeCell="S32" sqref="S32"/>
    </sheetView>
  </sheetViews>
  <sheetFormatPr defaultColWidth="8.7109375" defaultRowHeight="12.75" customHeight="1" outlineLevelRow="1" outlineLevelCol="1" x14ac:dyDescent="0.2"/>
  <cols>
    <col min="1" max="1" width="52.28515625" style="220" customWidth="1"/>
    <col min="2" max="2" width="22" style="220" customWidth="1"/>
    <col min="3" max="4" width="17.28515625" style="220" customWidth="1"/>
    <col min="5" max="16" width="15.7109375" style="220" hidden="1" customWidth="1" outlineLevel="1"/>
    <col min="17" max="17" width="17.28515625" style="220" customWidth="1" collapsed="1"/>
    <col min="18" max="18" width="10.7109375" style="220" customWidth="1"/>
    <col min="19" max="19" width="17" style="220" customWidth="1"/>
    <col min="20" max="22" width="19.28515625" style="220" customWidth="1"/>
    <col min="23" max="23" width="195.140625" style="220" customWidth="1"/>
    <col min="24" max="24" width="8.7109375" style="220"/>
    <col min="25" max="25" width="146.28515625" style="220" customWidth="1"/>
    <col min="26" max="16384" width="8.7109375" style="220"/>
  </cols>
  <sheetData>
    <row r="1" spans="1:25" ht="20.100000000000001" customHeight="1" x14ac:dyDescent="0.25">
      <c r="A1" s="60" t="str">
        <f>+'0. Instructions'!A1</f>
        <v>Budget 2024</v>
      </c>
      <c r="B1" s="60"/>
      <c r="C1" s="218"/>
      <c r="D1" s="218"/>
      <c r="E1" s="218"/>
      <c r="F1" s="218"/>
      <c r="G1" s="218"/>
      <c r="H1" s="58"/>
      <c r="I1" s="60"/>
      <c r="J1" s="60"/>
      <c r="K1" s="60"/>
      <c r="L1" s="218"/>
      <c r="M1" s="218"/>
      <c r="N1" s="218"/>
      <c r="O1" s="58"/>
      <c r="P1" s="218"/>
      <c r="Q1" s="60"/>
      <c r="R1" s="60"/>
      <c r="S1" s="218"/>
      <c r="T1" s="218"/>
      <c r="U1" s="218"/>
      <c r="V1" s="218"/>
      <c r="W1" s="57" t="str">
        <f>'Input-FX Rates'!$H$1</f>
        <v>Plant ICH Icheon (242)</v>
      </c>
      <c r="X1" s="366"/>
      <c r="Y1" s="56" t="s">
        <v>154</v>
      </c>
    </row>
    <row r="2" spans="1:25" ht="20.100000000000001" customHeight="1" thickBot="1" x14ac:dyDescent="0.3">
      <c r="A2" s="55" t="s">
        <v>419</v>
      </c>
      <c r="B2" s="55"/>
      <c r="C2" s="217"/>
      <c r="D2" s="217"/>
      <c r="E2" s="217"/>
      <c r="F2" s="217"/>
      <c r="G2" s="217"/>
      <c r="H2" s="54"/>
      <c r="I2" s="55"/>
      <c r="J2" s="217"/>
      <c r="K2" s="217"/>
      <c r="L2" s="217"/>
      <c r="M2" s="217"/>
      <c r="N2" s="217"/>
      <c r="O2" s="54"/>
      <c r="P2" s="55"/>
      <c r="Q2" s="217"/>
      <c r="R2" s="217"/>
      <c r="S2" s="217"/>
      <c r="T2" s="217"/>
      <c r="U2" s="217"/>
      <c r="V2" s="217"/>
      <c r="W2" s="54" t="str">
        <f>'Input-FX Rates'!$H$2</f>
        <v>7521 &amp; 7522 PL Mechatronic Sensors (&amp; Electrification)</v>
      </c>
      <c r="Y2" s="95" t="s">
        <v>156</v>
      </c>
    </row>
    <row r="4" spans="1:25" ht="27.6" customHeight="1" x14ac:dyDescent="0.2">
      <c r="A4" s="187" t="str">
        <f>"in '000 "&amp;"EUR"</f>
        <v>in '000 EUR</v>
      </c>
      <c r="B4" s="1027">
        <v>2023</v>
      </c>
      <c r="C4" s="1027"/>
      <c r="D4" s="1027"/>
      <c r="E4" s="1029">
        <v>2024</v>
      </c>
      <c r="F4" s="1027"/>
      <c r="G4" s="1027"/>
      <c r="H4" s="1027"/>
      <c r="I4" s="1027"/>
      <c r="J4" s="1027"/>
      <c r="K4" s="1027"/>
      <c r="L4" s="1027"/>
      <c r="M4" s="1027"/>
      <c r="N4" s="1027"/>
      <c r="O4" s="1027"/>
      <c r="P4" s="1030"/>
      <c r="Q4" s="1029">
        <v>2024</v>
      </c>
      <c r="R4" s="1030"/>
      <c r="S4" s="186" t="s">
        <v>488</v>
      </c>
      <c r="T4" s="187" t="s">
        <v>488</v>
      </c>
      <c r="U4" s="186" t="s">
        <v>488</v>
      </c>
      <c r="V4" s="187" t="s">
        <v>488</v>
      </c>
      <c r="W4" s="645" t="s">
        <v>208</v>
      </c>
      <c r="Y4" s="220" t="s">
        <v>421</v>
      </c>
    </row>
    <row r="5" spans="1:25" ht="15.6" customHeight="1" x14ac:dyDescent="0.2">
      <c r="A5" s="187"/>
      <c r="B5" s="645" t="s">
        <v>242</v>
      </c>
      <c r="C5" s="186" t="s">
        <v>19</v>
      </c>
      <c r="D5" s="639" t="s">
        <v>19</v>
      </c>
      <c r="E5" s="186" t="s">
        <v>321</v>
      </c>
      <c r="F5" s="186" t="s">
        <v>322</v>
      </c>
      <c r="G5" s="186" t="s">
        <v>323</v>
      </c>
      <c r="H5" s="186" t="s">
        <v>324</v>
      </c>
      <c r="I5" s="186" t="s">
        <v>325</v>
      </c>
      <c r="J5" s="186" t="s">
        <v>326</v>
      </c>
      <c r="K5" s="186" t="s">
        <v>327</v>
      </c>
      <c r="L5" s="186" t="s">
        <v>328</v>
      </c>
      <c r="M5" s="186" t="s">
        <v>329</v>
      </c>
      <c r="N5" s="186" t="s">
        <v>330</v>
      </c>
      <c r="O5" s="186" t="s">
        <v>331</v>
      </c>
      <c r="P5" s="187" t="s">
        <v>332</v>
      </c>
      <c r="Q5" s="645" t="s">
        <v>15</v>
      </c>
      <c r="R5" s="187" t="s">
        <v>251</v>
      </c>
      <c r="S5" s="763" t="s">
        <v>489</v>
      </c>
      <c r="T5" s="764" t="s">
        <v>489</v>
      </c>
      <c r="U5" s="763" t="s">
        <v>490</v>
      </c>
      <c r="V5" s="763" t="s">
        <v>490</v>
      </c>
      <c r="W5" s="645"/>
      <c r="Y5" s="220" t="s">
        <v>423</v>
      </c>
    </row>
    <row r="6" spans="1:25" ht="15.75" x14ac:dyDescent="0.2">
      <c r="A6" s="187"/>
      <c r="B6" s="672" t="s">
        <v>491</v>
      </c>
      <c r="C6" s="508" t="s">
        <v>492</v>
      </c>
      <c r="D6" s="639" t="s">
        <v>493</v>
      </c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7"/>
      <c r="Q6" s="645"/>
      <c r="R6" s="187"/>
      <c r="S6" s="41"/>
      <c r="T6" s="40" t="s">
        <v>424</v>
      </c>
      <c r="U6" s="41"/>
      <c r="V6" s="40" t="s">
        <v>424</v>
      </c>
      <c r="W6" s="645"/>
      <c r="Y6" s="266"/>
    </row>
    <row r="7" spans="1:25" s="334" customFormat="1" ht="15.75" x14ac:dyDescent="0.2">
      <c r="A7" s="214" t="s">
        <v>195</v>
      </c>
      <c r="B7" s="265">
        <f>IFERROR('4. Fix Cost (LC) '!B7/'Input-FX Rates'!$E$16,0)</f>
        <v>7249.997525078973</v>
      </c>
      <c r="C7" s="78">
        <f>IFERROR('4. Fix Cost (LC) '!C7/'Input-FX Rates'!$G$16,0)</f>
        <v>15111.540802308424</v>
      </c>
      <c r="D7" s="80">
        <f>IFERROR('4. Fix Cost (LC) '!C7/'Input-FX Rates'!$H$16,0)</f>
        <v>14628.806695862067</v>
      </c>
      <c r="E7" s="78">
        <f>IFERROR('4. Fix Cost (LC) '!D7/'Input-FX Rates'!$H$16,0)</f>
        <v>1199.7445020689654</v>
      </c>
      <c r="F7" s="78">
        <f>IFERROR('4. Fix Cost (LC) '!E7/'Input-FX Rates'!$H$16,0)</f>
        <v>1199.7532220689654</v>
      </c>
      <c r="G7" s="78">
        <f>IFERROR('4. Fix Cost (LC) '!F7/'Input-FX Rates'!$H$16,0)</f>
        <v>1169.4966724137932</v>
      </c>
      <c r="H7" s="78">
        <f>IFERROR('4. Fix Cost (LC) '!G7/'Input-FX Rates'!$H$16,0)</f>
        <v>1199.7532220689654</v>
      </c>
      <c r="I7" s="78">
        <f>IFERROR('4. Fix Cost (LC) '!H7/'Input-FX Rates'!$H$16,0)</f>
        <v>1230.0380220689656</v>
      </c>
      <c r="J7" s="78">
        <f>IFERROR('4. Fix Cost (LC) '!I7/'Input-FX Rates'!$H$16,0)</f>
        <v>1147.8775020689654</v>
      </c>
      <c r="K7" s="78">
        <f>IFERROR('4. Fix Cost (LC) '!J7/'Input-FX Rates'!$H$16,0)</f>
        <v>1240.072312413793</v>
      </c>
      <c r="L7" s="78">
        <f>IFERROR('4. Fix Cost (LC) '!K7/'Input-FX Rates'!$H$16,0)</f>
        <v>1209.2798220689656</v>
      </c>
      <c r="M7" s="78">
        <f>IFERROR('4. Fix Cost (LC) '!L7/'Input-FX Rates'!$H$16,0)</f>
        <v>1086.3583020689655</v>
      </c>
      <c r="N7" s="78">
        <f>IFERROR('4. Fix Cost (LC) '!M7/'Input-FX Rates'!$H$16,0)</f>
        <v>1240.012432413793</v>
      </c>
      <c r="O7" s="78">
        <f>IFERROR('4. Fix Cost (LC) '!N7/'Input-FX Rates'!$H$16,0)</f>
        <v>1209.2595420689654</v>
      </c>
      <c r="P7" s="80">
        <f>IFERROR('4. Fix Cost (LC) '!O7/'Input-FX Rates'!$H$16,0)</f>
        <v>1055.6163841379309</v>
      </c>
      <c r="Q7" s="265">
        <f>IFERROR('4. Fix Cost (LC) '!P7/'Input-FX Rates'!$H$16,0)</f>
        <v>14187.261937931033</v>
      </c>
      <c r="R7" s="80">
        <f>IFERROR('4. Fix Cost (LC) '!Q7/'Input-FX Rates'!$H$16,0)</f>
        <v>0</v>
      </c>
      <c r="S7" s="78">
        <f>Q7-C7</f>
        <v>-924.27886437739107</v>
      </c>
      <c r="T7" s="263">
        <f>IFERROR(Q7/C7-1,0)</f>
        <v>-6.1163773864555182E-2</v>
      </c>
      <c r="U7" s="78">
        <f>Q7-D7</f>
        <v>-441.54475793103484</v>
      </c>
      <c r="V7" s="263">
        <f>IFERROR(Q7/D7-1,0)</f>
        <v>-3.0183238257972977E-2</v>
      </c>
      <c r="W7" s="927" t="str">
        <f>IF(ISBLANK('4. Fix Cost (LC) '!T7),"",'4. Fix Cost (LC) '!T7)</f>
        <v/>
      </c>
      <c r="Y7" s="19" t="s">
        <v>425</v>
      </c>
    </row>
    <row r="8" spans="1:25" ht="15" outlineLevel="1" x14ac:dyDescent="0.2">
      <c r="A8" s="356" t="s">
        <v>426</v>
      </c>
      <c r="B8" s="369">
        <f>IFERROR('4. Fix Cost (LC) '!B8/'Input-FX Rates'!$E$16,0)</f>
        <v>-218.41400564590381</v>
      </c>
      <c r="C8" s="364">
        <f>IFERROR('4. Fix Cost (LC) '!C8/'Input-FX Rates'!$G$16,0)</f>
        <v>-438.48496282066083</v>
      </c>
      <c r="D8" s="363">
        <f>IFERROR('4. Fix Cost (LC) '!C8/'Input-FX Rates'!$H$16,0)</f>
        <v>-424.47767862068963</v>
      </c>
      <c r="E8" s="364">
        <f>IFERROR('4. Fix Cost (LC) '!D8/'Input-FX Rates'!$H$16,0)</f>
        <v>-37.4451675862069</v>
      </c>
      <c r="F8" s="364">
        <f>IFERROR('4. Fix Cost (LC) '!E8/'Input-FX Rates'!$H$16,0)</f>
        <v>-37.389682068965513</v>
      </c>
      <c r="G8" s="364">
        <f>IFERROR('4. Fix Cost (LC) '!F8/'Input-FX Rates'!$H$16,0)</f>
        <v>-37.491252413793106</v>
      </c>
      <c r="H8" s="364">
        <f>IFERROR('4. Fix Cost (LC) '!G8/'Input-FX Rates'!$H$16,0)</f>
        <v>-34.597544137931031</v>
      </c>
      <c r="I8" s="364">
        <f>IFERROR('4. Fix Cost (LC) '!H8/'Input-FX Rates'!$H$16,0)</f>
        <v>-36.62437172413793</v>
      </c>
      <c r="J8" s="364">
        <f>IFERROR('4. Fix Cost (LC) '!I8/'Input-FX Rates'!$H$16,0)</f>
        <v>-37.327066896551727</v>
      </c>
      <c r="K8" s="364">
        <f>IFERROR('4. Fix Cost (LC) '!J8/'Input-FX Rates'!$H$16,0)</f>
        <v>-47.372034482758622</v>
      </c>
      <c r="L8" s="364">
        <f>IFERROR('4. Fix Cost (LC) '!K8/'Input-FX Rates'!$H$16,0)</f>
        <v>-45.508439310344826</v>
      </c>
      <c r="M8" s="364">
        <f>IFERROR('4. Fix Cost (LC) '!L8/'Input-FX Rates'!$H$16,0)</f>
        <v>-40.267257931034479</v>
      </c>
      <c r="N8" s="364">
        <f>IFERROR('4. Fix Cost (LC) '!M8/'Input-FX Rates'!$H$16,0)</f>
        <v>-40.260060689655177</v>
      </c>
      <c r="O8" s="364">
        <f>IFERROR('4. Fix Cost (LC) '!N8/'Input-FX Rates'!$H$16,0)</f>
        <v>-39.546572413793101</v>
      </c>
      <c r="P8" s="363">
        <f>IFERROR('4. Fix Cost (LC) '!O8/'Input-FX Rates'!$H$16,0)</f>
        <v>-41.516784827586207</v>
      </c>
      <c r="Q8" s="353">
        <f>IFERROR('4. Fix Cost (LC) '!P8/'Input-FX Rates'!$H$16,0)</f>
        <v>-475.34623448275863</v>
      </c>
      <c r="R8" s="354">
        <f>IFERROR('4. Fix Cost (LC) '!Q8/'Input-FX Rates'!$H$16,0)</f>
        <v>-630</v>
      </c>
      <c r="S8" s="355">
        <f t="shared" ref="S8:S34" si="0">Q8-C8</f>
        <v>-36.861271662097806</v>
      </c>
      <c r="T8" s="362">
        <f t="shared" ref="T8:T34" si="1">IFERROR(Q8/C8-1,0)</f>
        <v>8.4065075857969518E-2</v>
      </c>
      <c r="U8" s="355">
        <f t="shared" ref="U8:U34" si="2">Q8-D8</f>
        <v>-50.868555862069002</v>
      </c>
      <c r="V8" s="760">
        <f t="shared" ref="V8:V40" si="3">IFERROR(Q8/D8-1,0)</f>
        <v>0.11983799955597862</v>
      </c>
      <c r="W8" s="372" t="str">
        <f>IF(ISBLANK('4. Fix Cost (LC) '!T8),"",'4. Fix Cost (LC) '!T8)</f>
        <v>IT cost allocation increase(due to allocation key increase), CM sales shrinking makes higher allocation portion, Overall FM(infra) cost increase due to plant extension and autostore + Occupied space increase for MES(180 → 250sqm)</v>
      </c>
      <c r="Y8" s="266" t="s">
        <v>428</v>
      </c>
    </row>
    <row r="9" spans="1:25" ht="15" outlineLevel="1" x14ac:dyDescent="0.2">
      <c r="A9" s="356" t="s">
        <v>429</v>
      </c>
      <c r="B9" s="369">
        <f>IFERROR('4. Fix Cost (LC) '!B9/'Input-FX Rates'!$E$16,0)</f>
        <v>-7.5040312230382984</v>
      </c>
      <c r="C9" s="364">
        <f>IFERROR('4. Fix Cost (LC) '!C9/'Input-FX Rates'!$G$16,0)</f>
        <v>-19.17445594122319</v>
      </c>
      <c r="D9" s="363">
        <f>IFERROR('4. Fix Cost (LC) '!C9/'Input-FX Rates'!$H$16,0)</f>
        <v>-18.561933103448276</v>
      </c>
      <c r="E9" s="364">
        <f>IFERROR('4. Fix Cost (LC) '!D9/'Input-FX Rates'!$H$16,0)</f>
        <v>-1.7001524137931034</v>
      </c>
      <c r="F9" s="364">
        <f>IFERROR('4. Fix Cost (LC) '!E9/'Input-FX Rates'!$H$16,0)</f>
        <v>-1.8031144827586207</v>
      </c>
      <c r="G9" s="364">
        <f>IFERROR('4. Fix Cost (LC) '!F9/'Input-FX Rates'!$H$16,0)</f>
        <v>-1.7267227586206897</v>
      </c>
      <c r="H9" s="364">
        <f>IFERROR('4. Fix Cost (LC) '!G9/'Input-FX Rates'!$H$16,0)</f>
        <v>-1.5791441379310345</v>
      </c>
      <c r="I9" s="364">
        <f>IFERROR('4. Fix Cost (LC) '!H9/'Input-FX Rates'!$H$16,0)</f>
        <v>-1.6079158620689655</v>
      </c>
      <c r="J9" s="364">
        <f>IFERROR('4. Fix Cost (LC) '!I9/'Input-FX Rates'!$H$16,0)</f>
        <v>-1.7661303448275862</v>
      </c>
      <c r="K9" s="364">
        <f>IFERROR('4. Fix Cost (LC) '!J9/'Input-FX Rates'!$H$16,0)</f>
        <v>-2.1367613793103448</v>
      </c>
      <c r="L9" s="364">
        <f>IFERROR('4. Fix Cost (LC) '!K9/'Input-FX Rates'!$H$16,0)</f>
        <v>-1.8000186206896551</v>
      </c>
      <c r="M9" s="364">
        <f>IFERROR('4. Fix Cost (LC) '!L9/'Input-FX Rates'!$H$16,0)</f>
        <v>-1.9402758620689655</v>
      </c>
      <c r="N9" s="364">
        <f>IFERROR('4. Fix Cost (LC) '!M9/'Input-FX Rates'!$H$16,0)</f>
        <v>-1.7709696551724137</v>
      </c>
      <c r="O9" s="364">
        <f>IFERROR('4. Fix Cost (LC) '!N9/'Input-FX Rates'!$H$16,0)</f>
        <v>-1.798631724137931</v>
      </c>
      <c r="P9" s="363">
        <f>IFERROR('4. Fix Cost (LC) '!O9/'Input-FX Rates'!$H$16,0)</f>
        <v>-1.8361075862068967</v>
      </c>
      <c r="Q9" s="353">
        <f>IFERROR('4. Fix Cost (LC) '!P9/'Input-FX Rates'!$H$16,0)</f>
        <v>-21.465944827586206</v>
      </c>
      <c r="R9" s="354">
        <f>IFERROR('4. Fix Cost (LC) '!Q9/'Input-FX Rates'!$H$16,0)</f>
        <v>0</v>
      </c>
      <c r="S9" s="355">
        <f t="shared" si="0"/>
        <v>-2.2914888863630161</v>
      </c>
      <c r="T9" s="362">
        <f t="shared" si="1"/>
        <v>0.11950737446670079</v>
      </c>
      <c r="U9" s="355">
        <f t="shared" si="2"/>
        <v>-2.9040117241379306</v>
      </c>
      <c r="V9" s="760">
        <f t="shared" si="3"/>
        <v>0.15644985400784828</v>
      </c>
      <c r="W9" s="372" t="str">
        <f>IF(ISBLANK('4. Fix Cost (LC) '!T9),"",'4. Fix Cost (LC) '!T9)</f>
        <v/>
      </c>
      <c r="Y9" s="266" t="s">
        <v>430</v>
      </c>
    </row>
    <row r="10" spans="1:25" ht="15" outlineLevel="1" x14ac:dyDescent="0.2">
      <c r="A10" s="356" t="s">
        <v>431</v>
      </c>
      <c r="B10" s="369">
        <f>IFERROR('4. Fix Cost (LC) '!B10/'Input-FX Rates'!$E$16,0)</f>
        <v>-82.432722873277228</v>
      </c>
      <c r="C10" s="364">
        <f>IFERROR('4. Fix Cost (LC) '!C10/'Input-FX Rates'!$G$16,0)</f>
        <v>-134.77605588976988</v>
      </c>
      <c r="D10" s="363">
        <f>IFERROR('4. Fix Cost (LC) '!C10/'Input-FX Rates'!$H$16,0)</f>
        <v>-130.47067103448276</v>
      </c>
      <c r="E10" s="364">
        <f>IFERROR('4. Fix Cost (LC) '!D10/'Input-FX Rates'!$H$16,0)</f>
        <v>-17.477541379310345</v>
      </c>
      <c r="F10" s="364">
        <f>IFERROR('4. Fix Cost (LC) '!E10/'Input-FX Rates'!$H$16,0)</f>
        <v>-18.099045517241379</v>
      </c>
      <c r="G10" s="364">
        <f>IFERROR('4. Fix Cost (LC) '!F10/'Input-FX Rates'!$H$16,0)</f>
        <v>-14.007515862068967</v>
      </c>
      <c r="H10" s="364">
        <f>IFERROR('4. Fix Cost (LC) '!G10/'Input-FX Rates'!$H$16,0)</f>
        <v>-9.8779220689655158</v>
      </c>
      <c r="I10" s="364">
        <f>IFERROR('4. Fix Cost (LC) '!H10/'Input-FX Rates'!$H$16,0)</f>
        <v>-11.582905517241379</v>
      </c>
      <c r="J10" s="364">
        <f>IFERROR('4. Fix Cost (LC) '!I10/'Input-FX Rates'!$H$16,0)</f>
        <v>-9.8570068965517237</v>
      </c>
      <c r="K10" s="364">
        <f>IFERROR('4. Fix Cost (LC) '!J10/'Input-FX Rates'!$H$16,0)</f>
        <v>-12.394375862068966</v>
      </c>
      <c r="L10" s="364">
        <f>IFERROR('4. Fix Cost (LC) '!K10/'Input-FX Rates'!$H$16,0)</f>
        <v>-9.6763062068965517</v>
      </c>
      <c r="M10" s="364">
        <f>IFERROR('4. Fix Cost (LC) '!L10/'Input-FX Rates'!$H$16,0)</f>
        <v>-14.932479310344828</v>
      </c>
      <c r="N10" s="364">
        <f>IFERROR('4. Fix Cost (LC) '!M10/'Input-FX Rates'!$H$16,0)</f>
        <v>-9.9643068965517241</v>
      </c>
      <c r="O10" s="364">
        <f>IFERROR('4. Fix Cost (LC) '!N10/'Input-FX Rates'!$H$16,0)</f>
        <v>-11.516934482758622</v>
      </c>
      <c r="P10" s="363">
        <f>IFERROR('4. Fix Cost (LC) '!O10/'Input-FX Rates'!$H$16,0)</f>
        <v>-10.025334482758621</v>
      </c>
      <c r="Q10" s="353">
        <f>IFERROR('4. Fix Cost (LC) '!P10/'Input-FX Rates'!$H$16,0)</f>
        <v>-149.41167448275863</v>
      </c>
      <c r="R10" s="354">
        <f>IFERROR('4. Fix Cost (LC) '!Q10/'Input-FX Rates'!$H$16,0)</f>
        <v>0</v>
      </c>
      <c r="S10" s="355">
        <f t="shared" si="0"/>
        <v>-14.635618592988749</v>
      </c>
      <c r="T10" s="362">
        <f t="shared" si="1"/>
        <v>0.10859212711313404</v>
      </c>
      <c r="U10" s="355">
        <f t="shared" si="2"/>
        <v>-18.941003448275865</v>
      </c>
      <c r="V10" s="760">
        <f t="shared" si="3"/>
        <v>0.14517441581387924</v>
      </c>
      <c r="W10" s="372" t="str">
        <f>IF(ISBLANK('4. Fix Cost (LC) '!T10),"",'4. Fix Cost (LC) '!T10)</f>
        <v>other compensations(Employee benefit coupon) increased due to the Variable HC 4 increase</v>
      </c>
      <c r="Y10" s="266" t="s">
        <v>433</v>
      </c>
    </row>
    <row r="11" spans="1:25" ht="15" outlineLevel="1" x14ac:dyDescent="0.2">
      <c r="A11" s="356" t="s">
        <v>434</v>
      </c>
      <c r="B11" s="332">
        <f>IFERROR('4. Fix Cost (LC) '!B11/'Input-FX Rates'!$E$16,0)</f>
        <v>-1.1421614197032182</v>
      </c>
      <c r="C11" s="222">
        <f>IFERROR('4. Fix Cost (LC) '!C11/'Input-FX Rates'!$G$16,0)</f>
        <v>-1.1398608232784431</v>
      </c>
      <c r="D11" s="331">
        <f>IFERROR('4. Fix Cost (LC) '!C11/'Input-FX Rates'!$H$16,0)</f>
        <v>-1.103448275862069</v>
      </c>
      <c r="E11" s="364">
        <f>IFERROR('4. Fix Cost (LC) '!D11/'Input-FX Rates'!$H$16,0)</f>
        <v>0</v>
      </c>
      <c r="F11" s="364">
        <f>IFERROR('4. Fix Cost (LC) '!E11/'Input-FX Rates'!$H$16,0)</f>
        <v>0</v>
      </c>
      <c r="G11" s="364">
        <f>IFERROR('4. Fix Cost (LC) '!F11/'Input-FX Rates'!$H$16,0)</f>
        <v>0</v>
      </c>
      <c r="H11" s="364">
        <f>IFERROR('4. Fix Cost (LC) '!G11/'Input-FX Rates'!$H$16,0)</f>
        <v>0</v>
      </c>
      <c r="I11" s="364">
        <f>IFERROR('4. Fix Cost (LC) '!H11/'Input-FX Rates'!$H$16,0)</f>
        <v>0</v>
      </c>
      <c r="J11" s="364">
        <f>IFERROR('4. Fix Cost (LC) '!I11/'Input-FX Rates'!$H$16,0)</f>
        <v>0</v>
      </c>
      <c r="K11" s="364">
        <f>IFERROR('4. Fix Cost (LC) '!J11/'Input-FX Rates'!$H$16,0)</f>
        <v>0</v>
      </c>
      <c r="L11" s="364">
        <f>IFERROR('4. Fix Cost (LC) '!K11/'Input-FX Rates'!$H$16,0)</f>
        <v>0</v>
      </c>
      <c r="M11" s="364">
        <f>IFERROR('4. Fix Cost (LC) '!L11/'Input-FX Rates'!$H$16,0)</f>
        <v>0</v>
      </c>
      <c r="N11" s="364">
        <f>IFERROR('4. Fix Cost (LC) '!M11/'Input-FX Rates'!$H$16,0)</f>
        <v>0</v>
      </c>
      <c r="O11" s="364">
        <f>IFERROR('4. Fix Cost (LC) '!N11/'Input-FX Rates'!$H$16,0)</f>
        <v>0</v>
      </c>
      <c r="P11" s="363">
        <f>IFERROR('4. Fix Cost (LC) '!O11/'Input-FX Rates'!$H$16,0)</f>
        <v>0</v>
      </c>
      <c r="Q11" s="353">
        <f>IFERROR('4. Fix Cost (LC) '!P11/'Input-FX Rates'!$H$16,0)</f>
        <v>0</v>
      </c>
      <c r="R11" s="354">
        <f>IFERROR('4. Fix Cost (LC) '!Q11/'Input-FX Rates'!$H$16,0)</f>
        <v>0</v>
      </c>
      <c r="S11" s="355">
        <f t="shared" si="0"/>
        <v>1.1398608232784431</v>
      </c>
      <c r="T11" s="362">
        <f t="shared" si="1"/>
        <v>-1</v>
      </c>
      <c r="U11" s="355">
        <f t="shared" si="2"/>
        <v>1.103448275862069</v>
      </c>
      <c r="V11" s="760">
        <f t="shared" si="3"/>
        <v>-1</v>
      </c>
      <c r="W11" s="372" t="str">
        <f>IF(ISBLANK('4. Fix Cost (LC) '!T11),"",'4. Fix Cost (LC) '!T11)</f>
        <v/>
      </c>
      <c r="Y11" s="969" t="s">
        <v>435</v>
      </c>
    </row>
    <row r="12" spans="1:25" ht="15" outlineLevel="1" x14ac:dyDescent="0.2">
      <c r="A12" s="356" t="s">
        <v>436</v>
      </c>
      <c r="B12" s="332">
        <f>IFERROR('4. Fix Cost (LC) '!B12/'Input-FX Rates'!$E$16,0)</f>
        <v>-4.329733349995565</v>
      </c>
      <c r="C12" s="222">
        <f>IFERROR('4. Fix Cost (LC) '!C12/'Input-FX Rates'!$G$16,0)</f>
        <v>0</v>
      </c>
      <c r="D12" s="331">
        <f>IFERROR('4. Fix Cost (LC) '!C12/'Input-FX Rates'!$H$16,0)</f>
        <v>0</v>
      </c>
      <c r="E12" s="364">
        <f>IFERROR('4. Fix Cost (LC) '!D12/'Input-FX Rates'!$H$16,0)</f>
        <v>-1.5430896551724138</v>
      </c>
      <c r="F12" s="364">
        <f>IFERROR('4. Fix Cost (LC) '!E12/'Input-FX Rates'!$H$16,0)</f>
        <v>-1.5430896551724138</v>
      </c>
      <c r="G12" s="364">
        <f>IFERROR('4. Fix Cost (LC) '!F12/'Input-FX Rates'!$H$16,0)</f>
        <v>-1.5430896551724138</v>
      </c>
      <c r="H12" s="364">
        <f>IFERROR('4. Fix Cost (LC) '!G12/'Input-FX Rates'!$H$16,0)</f>
        <v>-1.5430896551724138</v>
      </c>
      <c r="I12" s="364">
        <f>IFERROR('4. Fix Cost (LC) '!H12/'Input-FX Rates'!$H$16,0)</f>
        <v>-1.5430896551724138</v>
      </c>
      <c r="J12" s="364">
        <f>IFERROR('4. Fix Cost (LC) '!I12/'Input-FX Rates'!$H$16,0)</f>
        <v>-1.5430896551724138</v>
      </c>
      <c r="K12" s="364">
        <f>IFERROR('4. Fix Cost (LC) '!J12/'Input-FX Rates'!$H$16,0)</f>
        <v>-1.5430896551724138</v>
      </c>
      <c r="L12" s="364">
        <f>IFERROR('4. Fix Cost (LC) '!K12/'Input-FX Rates'!$H$16,0)</f>
        <v>-1.5430896551724138</v>
      </c>
      <c r="M12" s="364">
        <f>IFERROR('4. Fix Cost (LC) '!L12/'Input-FX Rates'!$H$16,0)</f>
        <v>-1.5430896551724138</v>
      </c>
      <c r="N12" s="364">
        <f>IFERROR('4. Fix Cost (LC) '!M12/'Input-FX Rates'!$H$16,0)</f>
        <v>-1.5430896551724138</v>
      </c>
      <c r="O12" s="364">
        <f>IFERROR('4. Fix Cost (LC) '!N12/'Input-FX Rates'!$H$16,0)</f>
        <v>-1.5430896551724138</v>
      </c>
      <c r="P12" s="363">
        <f>IFERROR('4. Fix Cost (LC) '!O12/'Input-FX Rates'!$H$16,0)</f>
        <v>-1.5430896551724138</v>
      </c>
      <c r="Q12" s="353">
        <f>IFERROR('4. Fix Cost (LC) '!P12/'Input-FX Rates'!$H$16,0)</f>
        <v>-18.517075862068964</v>
      </c>
      <c r="R12" s="354">
        <f>IFERROR('4. Fix Cost (LC) '!Q12/'Input-FX Rates'!$H$16,0)</f>
        <v>0</v>
      </c>
      <c r="S12" s="355">
        <f t="shared" si="0"/>
        <v>-18.517075862068964</v>
      </c>
      <c r="T12" s="362">
        <f t="shared" si="1"/>
        <v>0</v>
      </c>
      <c r="U12" s="355">
        <f t="shared" si="2"/>
        <v>-18.517075862068964</v>
      </c>
      <c r="V12" s="760">
        <f t="shared" si="3"/>
        <v>0</v>
      </c>
      <c r="W12" s="372" t="str">
        <f>IF(ISBLANK('4. Fix Cost (LC) '!T12),"",'4. Fix Cost (LC) '!T12)</f>
        <v>Knock sensors RV test for HKMC</v>
      </c>
      <c r="Y12" s="266" t="s">
        <v>438</v>
      </c>
    </row>
    <row r="13" spans="1:25" ht="15" outlineLevel="1" x14ac:dyDescent="0.2">
      <c r="A13" s="356" t="s">
        <v>439</v>
      </c>
      <c r="B13" s="332">
        <f>IFERROR('4. Fix Cost (LC) '!B13/'Input-FX Rates'!$E$16,0)</f>
        <v>-19.013446937657505</v>
      </c>
      <c r="C13" s="222">
        <f>IFERROR('4. Fix Cost (LC) '!C13/'Input-FX Rates'!$G$16,0)</f>
        <v>-18.975149139033913</v>
      </c>
      <c r="D13" s="331">
        <f>IFERROR('4. Fix Cost (LC) '!C13/'Input-FX Rates'!$H$16,0)</f>
        <v>-18.368993103448275</v>
      </c>
      <c r="E13" s="364">
        <f>IFERROR('4. Fix Cost (LC) '!D13/'Input-FX Rates'!$H$16,0)</f>
        <v>0</v>
      </c>
      <c r="F13" s="364">
        <f>IFERROR('4. Fix Cost (LC) '!E13/'Input-FX Rates'!$H$16,0)</f>
        <v>0</v>
      </c>
      <c r="G13" s="364">
        <f>IFERROR('4. Fix Cost (LC) '!F13/'Input-FX Rates'!$H$16,0)</f>
        <v>0</v>
      </c>
      <c r="H13" s="364">
        <f>IFERROR('4. Fix Cost (LC) '!G13/'Input-FX Rates'!$H$16,0)</f>
        <v>0</v>
      </c>
      <c r="I13" s="364">
        <f>IFERROR('4. Fix Cost (LC) '!H13/'Input-FX Rates'!$H$16,0)</f>
        <v>0</v>
      </c>
      <c r="J13" s="364">
        <f>IFERROR('4. Fix Cost (LC) '!I13/'Input-FX Rates'!$H$16,0)</f>
        <v>0</v>
      </c>
      <c r="K13" s="364">
        <f>IFERROR('4. Fix Cost (LC) '!J13/'Input-FX Rates'!$H$16,0)</f>
        <v>0</v>
      </c>
      <c r="L13" s="364">
        <f>IFERROR('4. Fix Cost (LC) '!K13/'Input-FX Rates'!$H$16,0)</f>
        <v>0</v>
      </c>
      <c r="M13" s="364">
        <f>IFERROR('4. Fix Cost (LC) '!L13/'Input-FX Rates'!$H$16,0)</f>
        <v>0</v>
      </c>
      <c r="N13" s="364">
        <f>IFERROR('4. Fix Cost (LC) '!M13/'Input-FX Rates'!$H$16,0)</f>
        <v>0</v>
      </c>
      <c r="O13" s="364">
        <f>IFERROR('4. Fix Cost (LC) '!N13/'Input-FX Rates'!$H$16,0)</f>
        <v>0</v>
      </c>
      <c r="P13" s="363">
        <f>IFERROR('4. Fix Cost (LC) '!O13/'Input-FX Rates'!$H$16,0)</f>
        <v>0</v>
      </c>
      <c r="Q13" s="353">
        <f>IFERROR('4. Fix Cost (LC) '!P13/'Input-FX Rates'!$H$16,0)</f>
        <v>0</v>
      </c>
      <c r="R13" s="354">
        <f>IFERROR('4. Fix Cost (LC) '!Q13/'Input-FX Rates'!$H$16,0)</f>
        <v>0</v>
      </c>
      <c r="S13" s="355">
        <f t="shared" si="0"/>
        <v>18.975149139033913</v>
      </c>
      <c r="T13" s="362">
        <f t="shared" si="1"/>
        <v>-1</v>
      </c>
      <c r="U13" s="355">
        <f t="shared" si="2"/>
        <v>18.368993103448275</v>
      </c>
      <c r="V13" s="760">
        <f t="shared" si="3"/>
        <v>-1</v>
      </c>
      <c r="W13" s="372" t="str">
        <f>IF(ISBLANK('4. Fix Cost (LC) '!T13),"",'4. Fix Cost (LC) '!T13)</f>
        <v/>
      </c>
      <c r="Y13" s="266" t="s">
        <v>440</v>
      </c>
    </row>
    <row r="14" spans="1:25" ht="15" outlineLevel="1" x14ac:dyDescent="0.2">
      <c r="A14" s="356" t="s">
        <v>441</v>
      </c>
      <c r="B14" s="332">
        <f>IFERROR('4. Fix Cost (LC) '!B14/'Input-FX Rates'!$E$16,0)</f>
        <v>-46.579433564746182</v>
      </c>
      <c r="C14" s="222">
        <f>IFERROR('4. Fix Cost (LC) '!C14/'Input-FX Rates'!$G$16,0)</f>
        <v>-51.720136896714941</v>
      </c>
      <c r="D14" s="331">
        <f>IFERROR('4. Fix Cost (LC) '!C14/'Input-FX Rates'!$H$16,0)</f>
        <v>-50.067951034482753</v>
      </c>
      <c r="E14" s="364">
        <f>IFERROR('4. Fix Cost (LC) '!D14/'Input-FX Rates'!$H$16,0)</f>
        <v>-6.385908275862068</v>
      </c>
      <c r="F14" s="364">
        <f>IFERROR('4. Fix Cost (LC) '!E14/'Input-FX Rates'!$H$16,0)</f>
        <v>-6.6715855172413798</v>
      </c>
      <c r="G14" s="364">
        <f>IFERROR('4. Fix Cost (LC) '!F14/'Input-FX Rates'!$H$16,0)</f>
        <v>-6.7417310344827586</v>
      </c>
      <c r="H14" s="364">
        <f>IFERROR('4. Fix Cost (LC) '!G14/'Input-FX Rates'!$H$16,0)</f>
        <v>-6.5216006896551724</v>
      </c>
      <c r="I14" s="364">
        <f>IFERROR('4. Fix Cost (LC) '!H14/'Input-FX Rates'!$H$16,0)</f>
        <v>-6.6710262068965509</v>
      </c>
      <c r="J14" s="364">
        <f>IFERROR('4. Fix Cost (LC) '!I14/'Input-FX Rates'!$H$16,0)</f>
        <v>-6.5599420689655163</v>
      </c>
      <c r="K14" s="364">
        <f>IFERROR('4. Fix Cost (LC) '!J14/'Input-FX Rates'!$H$16,0)</f>
        <v>-6.8184717241379307</v>
      </c>
      <c r="L14" s="364">
        <f>IFERROR('4. Fix Cost (LC) '!K14/'Input-FX Rates'!$H$16,0)</f>
        <v>-6.5811903448275864</v>
      </c>
      <c r="M14" s="364">
        <f>IFERROR('4. Fix Cost (LC) '!L14/'Input-FX Rates'!$H$16,0)</f>
        <v>-6.6928358620689652</v>
      </c>
      <c r="N14" s="364">
        <f>IFERROR('4. Fix Cost (LC) '!M14/'Input-FX Rates'!$H$16,0)</f>
        <v>-6.6749434482758616</v>
      </c>
      <c r="O14" s="364">
        <f>IFERROR('4. Fix Cost (LC) '!N14/'Input-FX Rates'!$H$16,0)</f>
        <v>-6.4363627586206897</v>
      </c>
      <c r="P14" s="363">
        <f>IFERROR('4. Fix Cost (LC) '!O14/'Input-FX Rates'!$H$16,0)</f>
        <v>-6.7001117241379315</v>
      </c>
      <c r="Q14" s="353">
        <f>IFERROR('4. Fix Cost (LC) '!P14/'Input-FX Rates'!$H$16,0)</f>
        <v>-79.455709655172413</v>
      </c>
      <c r="R14" s="354">
        <f>IFERROR('4. Fix Cost (LC) '!Q14/'Input-FX Rates'!$H$16,0)</f>
        <v>0</v>
      </c>
      <c r="S14" s="355">
        <f t="shared" si="0"/>
        <v>-27.735572758457472</v>
      </c>
      <c r="T14" s="362">
        <f t="shared" si="1"/>
        <v>0.53626255502465869</v>
      </c>
      <c r="U14" s="355">
        <f t="shared" si="2"/>
        <v>-29.387758620689659</v>
      </c>
      <c r="V14" s="760">
        <f t="shared" si="3"/>
        <v>0.58695748504766554</v>
      </c>
      <c r="W14" s="372" t="str">
        <f>IF(ISBLANK('4. Fix Cost (LC) '!T14),"",'4. Fix Cost (LC) '!T14)</f>
        <v>Timing issue, burden material increase</v>
      </c>
      <c r="Y14" s="266" t="s">
        <v>443</v>
      </c>
    </row>
    <row r="15" spans="1:25" s="334" customFormat="1" ht="15.75" outlineLevel="1" x14ac:dyDescent="0.2">
      <c r="A15" s="340" t="s">
        <v>444</v>
      </c>
      <c r="B15" s="345">
        <f>IFERROR('4. Fix Cost (LC) '!B15/'Input-FX Rates'!$E$16,0)</f>
        <v>-379.41553501432179</v>
      </c>
      <c r="C15" s="336">
        <f>IFERROR('4. Fix Cost (LC) '!C15/'Input-FX Rates'!$G$16,0)</f>
        <v>-664.27062151068117</v>
      </c>
      <c r="D15" s="339">
        <f>IFERROR('4. Fix Cost (LC) '!C15/'Input-FX Rates'!$H$16,0)</f>
        <v>-643.05067517241378</v>
      </c>
      <c r="E15" s="336">
        <f>IFERROR('4. Fix Cost (LC) '!D15/'Input-FX Rates'!$H$16,0)</f>
        <v>-64.551859310344824</v>
      </c>
      <c r="F15" s="336">
        <f>IFERROR('4. Fix Cost (LC) '!E15/'Input-FX Rates'!$H$16,0)</f>
        <v>-65.506517241379314</v>
      </c>
      <c r="G15" s="336">
        <f>IFERROR('4. Fix Cost (LC) '!F15/'Input-FX Rates'!$H$16,0)</f>
        <v>-61.510311724137921</v>
      </c>
      <c r="H15" s="336">
        <f>IFERROR('4. Fix Cost (LC) '!G15/'Input-FX Rates'!$H$16,0)</f>
        <v>-54.119300689655162</v>
      </c>
      <c r="I15" s="336">
        <f>IFERROR('4. Fix Cost (LC) '!H15/'Input-FX Rates'!$H$16,0)</f>
        <v>-58.029308965517238</v>
      </c>
      <c r="J15" s="336">
        <f>IFERROR('4. Fix Cost (LC) '!I15/'Input-FX Rates'!$H$16,0)</f>
        <v>-57.053235862068959</v>
      </c>
      <c r="K15" s="336">
        <f>IFERROR('4. Fix Cost (LC) '!J15/'Input-FX Rates'!$H$16,0)</f>
        <v>-70.264733103448279</v>
      </c>
      <c r="L15" s="336">
        <f>IFERROR('4. Fix Cost (LC) '!K15/'Input-FX Rates'!$H$16,0)</f>
        <v>-65.109044137931022</v>
      </c>
      <c r="M15" s="336">
        <f>IFERROR('4. Fix Cost (LC) '!L15/'Input-FX Rates'!$H$16,0)</f>
        <v>-65.375938620689652</v>
      </c>
      <c r="N15" s="336">
        <f>IFERROR('4. Fix Cost (LC) '!M15/'Input-FX Rates'!$H$16,0)</f>
        <v>-60.213370344827588</v>
      </c>
      <c r="O15" s="336">
        <f>IFERROR('4. Fix Cost (LC) '!N15/'Input-FX Rates'!$H$16,0)</f>
        <v>-60.841591034482747</v>
      </c>
      <c r="P15" s="339">
        <f>IFERROR('4. Fix Cost (LC) '!O15/'Input-FX Rates'!$H$16,0)</f>
        <v>-61.621428275862066</v>
      </c>
      <c r="Q15" s="336">
        <f>IFERROR('4. Fix Cost (LC) '!P15/'Input-FX Rates'!$H$16,0)</f>
        <v>-744.19663931034495</v>
      </c>
      <c r="R15" s="339">
        <f>IFERROR('4. Fix Cost (LC) '!Q15/'Input-FX Rates'!$H$16,0)</f>
        <v>-630</v>
      </c>
      <c r="S15" s="336">
        <f t="shared" si="0"/>
        <v>-79.926017799663782</v>
      </c>
      <c r="T15" s="335">
        <f t="shared" si="1"/>
        <v>0.1203214702132942</v>
      </c>
      <c r="U15" s="336">
        <f t="shared" si="2"/>
        <v>-101.14596413793117</v>
      </c>
      <c r="V15" s="761">
        <f t="shared" si="3"/>
        <v>0.1572908139950433</v>
      </c>
      <c r="W15" s="361" t="str">
        <f>IF(ISBLANK('4. Fix Cost (LC) '!T15),"",'4. Fix Cost (LC) '!T15)</f>
        <v/>
      </c>
      <c r="Y15" s="19"/>
    </row>
    <row r="16" spans="1:25" ht="15" outlineLevel="1" x14ac:dyDescent="0.2">
      <c r="A16" s="356" t="s">
        <v>445</v>
      </c>
      <c r="B16" s="369">
        <f>IFERROR('4. Fix Cost (LC) '!B16/'Input-FX Rates'!$E$16,0)</f>
        <v>-119.95613557621665</v>
      </c>
      <c r="C16" s="222">
        <f>IFERROR('4. Fix Cost (LC) '!C16/'Input-FX Rates'!$G$16,0)</f>
        <v>-314.2544369118167</v>
      </c>
      <c r="D16" s="331">
        <f>IFERROR('4. Fix Cost (LC) '!C16/'Input-FX Rates'!$H$16,0)</f>
        <v>-304.21566344827585</v>
      </c>
      <c r="E16" s="364">
        <f>IFERROR('4. Fix Cost (LC) '!D16/'Input-FX Rates'!$H$16,0)</f>
        <v>-24.591634482758622</v>
      </c>
      <c r="F16" s="364">
        <f>IFERROR('4. Fix Cost (LC) '!E16/'Input-FX Rates'!$H$16,0)</f>
        <v>-24.591634482758622</v>
      </c>
      <c r="G16" s="364">
        <f>IFERROR('4. Fix Cost (LC) '!F16/'Input-FX Rates'!$H$16,0)</f>
        <v>-24.591634482758622</v>
      </c>
      <c r="H16" s="364">
        <f>IFERROR('4. Fix Cost (LC) '!G16/'Input-FX Rates'!$H$16,0)</f>
        <v>-24.591634482758622</v>
      </c>
      <c r="I16" s="364">
        <f>IFERROR('4. Fix Cost (LC) '!H16/'Input-FX Rates'!$H$16,0)</f>
        <v>-24.591634482758622</v>
      </c>
      <c r="J16" s="364">
        <f>IFERROR('4. Fix Cost (LC) '!I16/'Input-FX Rates'!$H$16,0)</f>
        <v>-24.591634482758622</v>
      </c>
      <c r="K16" s="364">
        <f>IFERROR('4. Fix Cost (LC) '!J16/'Input-FX Rates'!$H$16,0)</f>
        <v>-24.591634482758622</v>
      </c>
      <c r="L16" s="364">
        <f>IFERROR('4. Fix Cost (LC) '!K16/'Input-FX Rates'!$H$16,0)</f>
        <v>-24.591634482758622</v>
      </c>
      <c r="M16" s="364">
        <f>IFERROR('4. Fix Cost (LC) '!L16/'Input-FX Rates'!$H$16,0)</f>
        <v>-24.591634482758622</v>
      </c>
      <c r="N16" s="364">
        <f>IFERROR('4. Fix Cost (LC) '!M16/'Input-FX Rates'!$H$16,0)</f>
        <v>-24.591634482758622</v>
      </c>
      <c r="O16" s="364">
        <f>IFERROR('4. Fix Cost (LC) '!N16/'Input-FX Rates'!$H$16,0)</f>
        <v>-24.591634482758622</v>
      </c>
      <c r="P16" s="363">
        <f>IFERROR('4. Fix Cost (LC) '!O16/'Input-FX Rates'!$H$16,0)</f>
        <v>-24.591634482758622</v>
      </c>
      <c r="Q16" s="353">
        <f>IFERROR('4. Fix Cost (LC) '!P16/'Input-FX Rates'!$H$16,0)</f>
        <v>-295.09961379310346</v>
      </c>
      <c r="R16" s="354">
        <f>IFERROR('4. Fix Cost (LC) '!Q16/'Input-FX Rates'!$H$16,0)</f>
        <v>0</v>
      </c>
      <c r="S16" s="355">
        <f t="shared" si="0"/>
        <v>19.154823118713239</v>
      </c>
      <c r="T16" s="362">
        <f t="shared" si="1"/>
        <v>-6.0953230468113628E-2</v>
      </c>
      <c r="U16" s="355">
        <f t="shared" si="2"/>
        <v>9.1160496551723895</v>
      </c>
      <c r="V16" s="760">
        <f t="shared" si="3"/>
        <v>-2.9965747167132073E-2</v>
      </c>
      <c r="W16" s="372" t="str">
        <f>IF(ISBLANK('4. Fix Cost (LC) '!T16),"",'4. Fix Cost (LC) '!T16)</f>
        <v>FC7+5</v>
      </c>
      <c r="Y16" s="266" t="s">
        <v>447</v>
      </c>
    </row>
    <row r="17" spans="1:25" ht="15" outlineLevel="1" x14ac:dyDescent="0.2">
      <c r="A17" s="356" t="s">
        <v>448</v>
      </c>
      <c r="B17" s="332">
        <f>IFERROR('4. Fix Cost (LC) '!B17/'Input-FX Rates'!$E$16,0)</f>
        <v>-38.868080770057794</v>
      </c>
      <c r="C17" s="222">
        <f>IFERROR('4. Fix Cost (LC) '!C17/'Input-FX Rates'!$G$16,0)</f>
        <v>-98.169767508429672</v>
      </c>
      <c r="D17" s="331">
        <f>IFERROR('4. Fix Cost (LC) '!C17/'Input-FX Rates'!$H$16,0)</f>
        <v>-95.033760689655182</v>
      </c>
      <c r="E17" s="364">
        <f>IFERROR('4. Fix Cost (LC) '!D17/'Input-FX Rates'!$H$16,0)</f>
        <v>-7.4182648275862073</v>
      </c>
      <c r="F17" s="364">
        <f>IFERROR('4. Fix Cost (LC) '!E17/'Input-FX Rates'!$H$16,0)</f>
        <v>-7.4182648275862073</v>
      </c>
      <c r="G17" s="364">
        <f>IFERROR('4. Fix Cost (LC) '!F17/'Input-FX Rates'!$H$16,0)</f>
        <v>-7.4182648275862073</v>
      </c>
      <c r="H17" s="364">
        <f>IFERROR('4. Fix Cost (LC) '!G17/'Input-FX Rates'!$H$16,0)</f>
        <v>-7.4182648275862073</v>
      </c>
      <c r="I17" s="364">
        <f>IFERROR('4. Fix Cost (LC) '!H17/'Input-FX Rates'!$H$16,0)</f>
        <v>-7.4182648275862073</v>
      </c>
      <c r="J17" s="364">
        <f>IFERROR('4. Fix Cost (LC) '!I17/'Input-FX Rates'!$H$16,0)</f>
        <v>-7.4182648275862073</v>
      </c>
      <c r="K17" s="364">
        <f>IFERROR('4. Fix Cost (LC) '!J17/'Input-FX Rates'!$H$16,0)</f>
        <v>-7.4182648275862073</v>
      </c>
      <c r="L17" s="364">
        <f>IFERROR('4. Fix Cost (LC) '!K17/'Input-FX Rates'!$H$16,0)</f>
        <v>-7.4182648275862073</v>
      </c>
      <c r="M17" s="364">
        <f>IFERROR('4. Fix Cost (LC) '!L17/'Input-FX Rates'!$H$16,0)</f>
        <v>-7.4182648275862073</v>
      </c>
      <c r="N17" s="364">
        <f>IFERROR('4. Fix Cost (LC) '!M17/'Input-FX Rates'!$H$16,0)</f>
        <v>-7.4182648275862073</v>
      </c>
      <c r="O17" s="364">
        <f>IFERROR('4. Fix Cost (LC) '!N17/'Input-FX Rates'!$H$16,0)</f>
        <v>-7.4182648275862073</v>
      </c>
      <c r="P17" s="363">
        <f>IFERROR('4. Fix Cost (LC) '!O17/'Input-FX Rates'!$H$16,0)</f>
        <v>-7.4182648275862073</v>
      </c>
      <c r="Q17" s="353">
        <f>IFERROR('4. Fix Cost (LC) '!P17/'Input-FX Rates'!$H$16,0)</f>
        <v>-89.019177931034491</v>
      </c>
      <c r="R17" s="354">
        <f>IFERROR('4. Fix Cost (LC) '!Q17/'Input-FX Rates'!$H$16,0)</f>
        <v>0</v>
      </c>
      <c r="S17" s="355">
        <f t="shared" si="0"/>
        <v>9.1505895773951806</v>
      </c>
      <c r="T17" s="362">
        <f t="shared" si="1"/>
        <v>-9.3211890072057435E-2</v>
      </c>
      <c r="U17" s="355">
        <f t="shared" si="2"/>
        <v>6.0145827586206906</v>
      </c>
      <c r="V17" s="760">
        <f t="shared" si="3"/>
        <v>-6.328890612107918E-2</v>
      </c>
      <c r="W17" s="372" t="str">
        <f>IF(ISBLANK('4. Fix Cost (LC) '!T17),"",'4. Fix Cost (LC) '!T17)</f>
        <v>FC7+5</v>
      </c>
      <c r="Y17" s="266" t="s">
        <v>449</v>
      </c>
    </row>
    <row r="18" spans="1:25" ht="15" outlineLevel="1" x14ac:dyDescent="0.2">
      <c r="A18" s="356" t="s">
        <v>450</v>
      </c>
      <c r="B18" s="369">
        <f>IFERROR('4. Fix Cost (LC) '!B18/'Input-FX Rates'!$E$16,0)</f>
        <v>0</v>
      </c>
      <c r="C18" s="364">
        <f>IFERROR('4. Fix Cost (LC) '!C18/'Input-FX Rates'!$G$16,0)</f>
        <v>0</v>
      </c>
      <c r="D18" s="363">
        <f>IFERROR('4. Fix Cost (LC) '!C18/'Input-FX Rates'!$H$16,0)</f>
        <v>0</v>
      </c>
      <c r="E18" s="364">
        <f>IFERROR('4. Fix Cost (LC) '!D18/'Input-FX Rates'!$H$16,0)</f>
        <v>0</v>
      </c>
      <c r="F18" s="364">
        <f>IFERROR('4. Fix Cost (LC) '!E18/'Input-FX Rates'!$H$16,0)</f>
        <v>0</v>
      </c>
      <c r="G18" s="364">
        <f>IFERROR('4. Fix Cost (LC) '!F18/'Input-FX Rates'!$H$16,0)</f>
        <v>0</v>
      </c>
      <c r="H18" s="364">
        <f>IFERROR('4. Fix Cost (LC) '!G18/'Input-FX Rates'!$H$16,0)</f>
        <v>0</v>
      </c>
      <c r="I18" s="364">
        <f>IFERROR('4. Fix Cost (LC) '!H18/'Input-FX Rates'!$H$16,0)</f>
        <v>0</v>
      </c>
      <c r="J18" s="364">
        <f>IFERROR('4. Fix Cost (LC) '!I18/'Input-FX Rates'!$H$16,0)</f>
        <v>0</v>
      </c>
      <c r="K18" s="364">
        <f>IFERROR('4. Fix Cost (LC) '!J18/'Input-FX Rates'!$H$16,0)</f>
        <v>0</v>
      </c>
      <c r="L18" s="364">
        <f>IFERROR('4. Fix Cost (LC) '!K18/'Input-FX Rates'!$H$16,0)</f>
        <v>0</v>
      </c>
      <c r="M18" s="364">
        <f>IFERROR('4. Fix Cost (LC) '!L18/'Input-FX Rates'!$H$16,0)</f>
        <v>0</v>
      </c>
      <c r="N18" s="364">
        <f>IFERROR('4. Fix Cost (LC) '!M18/'Input-FX Rates'!$H$16,0)</f>
        <v>0</v>
      </c>
      <c r="O18" s="364">
        <f>IFERROR('4. Fix Cost (LC) '!N18/'Input-FX Rates'!$H$16,0)</f>
        <v>0</v>
      </c>
      <c r="P18" s="363">
        <f>IFERROR('4. Fix Cost (LC) '!O18/'Input-FX Rates'!$H$16,0)</f>
        <v>0</v>
      </c>
      <c r="Q18" s="353">
        <f>IFERROR('4. Fix Cost (LC) '!P18/'Input-FX Rates'!$H$16,0)</f>
        <v>0</v>
      </c>
      <c r="R18" s="354">
        <f>IFERROR('4. Fix Cost (LC) '!Q18/'Input-FX Rates'!$H$16,0)</f>
        <v>0</v>
      </c>
      <c r="S18" s="355">
        <f t="shared" si="0"/>
        <v>0</v>
      </c>
      <c r="T18" s="362">
        <f t="shared" si="1"/>
        <v>0</v>
      </c>
      <c r="U18" s="355">
        <f t="shared" si="2"/>
        <v>0</v>
      </c>
      <c r="V18" s="760">
        <f t="shared" si="3"/>
        <v>0</v>
      </c>
      <c r="W18" s="372" t="str">
        <f>IF(ISBLANK('4. Fix Cost (LC) '!T18),"",'4. Fix Cost (LC) '!T18)</f>
        <v>no line share cost</v>
      </c>
      <c r="Y18" s="741" t="s">
        <v>452</v>
      </c>
    </row>
    <row r="19" spans="1:25" ht="15" outlineLevel="1" x14ac:dyDescent="0.2">
      <c r="A19" s="356" t="s">
        <v>453</v>
      </c>
      <c r="B19" s="332">
        <f>IFERROR('4. Fix Cost (LC) '!B19/'Input-FX Rates'!$E$16,0)</f>
        <v>0</v>
      </c>
      <c r="C19" s="222">
        <f>IFERROR('4. Fix Cost (LC) '!C19/'Input-FX Rates'!$G$16,0)</f>
        <v>0</v>
      </c>
      <c r="D19" s="331">
        <f>IFERROR('4. Fix Cost (LC) '!C19/'Input-FX Rates'!$H$16,0)</f>
        <v>0</v>
      </c>
      <c r="E19" s="364">
        <f>IFERROR('4. Fix Cost (LC) '!D19/'Input-FX Rates'!$H$16,0)</f>
        <v>-38.436781379310347</v>
      </c>
      <c r="F19" s="364">
        <f>IFERROR('4. Fix Cost (LC) '!E19/'Input-FX Rates'!$H$16,0)</f>
        <v>-38.436781379310347</v>
      </c>
      <c r="G19" s="364">
        <f>IFERROR('4. Fix Cost (LC) '!F19/'Input-FX Rates'!$H$16,0)</f>
        <v>-38.436781379310347</v>
      </c>
      <c r="H19" s="364">
        <f>IFERROR('4. Fix Cost (LC) '!G19/'Input-FX Rates'!$H$16,0)</f>
        <v>-38.436781379310347</v>
      </c>
      <c r="I19" s="364">
        <f>IFERROR('4. Fix Cost (LC) '!H19/'Input-FX Rates'!$H$16,0)</f>
        <v>-38.436781379310347</v>
      </c>
      <c r="J19" s="364">
        <f>IFERROR('4. Fix Cost (LC) '!I19/'Input-FX Rates'!$H$16,0)</f>
        <v>-38.436781379310347</v>
      </c>
      <c r="K19" s="364">
        <f>IFERROR('4. Fix Cost (LC) '!J19/'Input-FX Rates'!$H$16,0)</f>
        <v>-38.436781379310347</v>
      </c>
      <c r="L19" s="364">
        <f>IFERROR('4. Fix Cost (LC) '!K19/'Input-FX Rates'!$H$16,0)</f>
        <v>-38.436781379310347</v>
      </c>
      <c r="M19" s="364">
        <f>IFERROR('4. Fix Cost (LC) '!L19/'Input-FX Rates'!$H$16,0)</f>
        <v>-38.436781379310347</v>
      </c>
      <c r="N19" s="364">
        <f>IFERROR('4. Fix Cost (LC) '!M19/'Input-FX Rates'!$H$16,0)</f>
        <v>-38.436781379310347</v>
      </c>
      <c r="O19" s="364">
        <f>IFERROR('4. Fix Cost (LC) '!N19/'Input-FX Rates'!$H$16,0)</f>
        <v>-38.436781379310347</v>
      </c>
      <c r="P19" s="363">
        <f>IFERROR('4. Fix Cost (LC) '!O19/'Input-FX Rates'!$H$16,0)</f>
        <v>-38.436781379310347</v>
      </c>
      <c r="Q19" s="353">
        <f>IFERROR('4. Fix Cost (LC) '!P19/'Input-FX Rates'!$H$16,0)</f>
        <v>-461.24137655172416</v>
      </c>
      <c r="R19" s="354">
        <f>IFERROR('4. Fix Cost (LC) '!Q19/'Input-FX Rates'!$H$16,0)</f>
        <v>0</v>
      </c>
      <c r="S19" s="355">
        <f t="shared" si="0"/>
        <v>-461.24137655172416</v>
      </c>
      <c r="T19" s="362">
        <f t="shared" si="1"/>
        <v>0</v>
      </c>
      <c r="U19" s="355">
        <f t="shared" si="2"/>
        <v>-461.24137655172416</v>
      </c>
      <c r="V19" s="760">
        <f t="shared" si="3"/>
        <v>0</v>
      </c>
      <c r="W19" s="372" t="str">
        <f>IF(ISBLANK('4. Fix Cost (LC) '!T19),"",'4. Fix Cost (LC) '!T19)</f>
        <v>Intangible asset(goodwill) trasferred from Sejong MES(219-7521)</v>
      </c>
      <c r="Y19" s="266" t="s">
        <v>454</v>
      </c>
    </row>
    <row r="20" spans="1:25" ht="15" outlineLevel="1" x14ac:dyDescent="0.2">
      <c r="A20" s="356" t="s">
        <v>455</v>
      </c>
      <c r="B20" s="332">
        <f>IFERROR('4. Fix Cost (LC) '!B20/'Input-FX Rates'!$E$16,0)</f>
        <v>-46.692474708155991</v>
      </c>
      <c r="C20" s="222">
        <f>IFERROR('4. Fix Cost (LC) '!C20/'Input-FX Rates'!$G$16,0)</f>
        <v>-88.963913815864061</v>
      </c>
      <c r="D20" s="331">
        <f>IFERROR('4. Fix Cost (LC) '!C20/'Input-FX Rates'!$H$16,0)</f>
        <v>-86.121985517241384</v>
      </c>
      <c r="E20" s="364">
        <f>IFERROR('4. Fix Cost (LC) '!D20/'Input-FX Rates'!$H$16,0)</f>
        <v>-6.601887586206896</v>
      </c>
      <c r="F20" s="364">
        <f>IFERROR('4. Fix Cost (LC) '!E20/'Input-FX Rates'!$H$16,0)</f>
        <v>-6.601887586206896</v>
      </c>
      <c r="G20" s="364">
        <f>IFERROR('4. Fix Cost (LC) '!F20/'Input-FX Rates'!$H$16,0)</f>
        <v>-6.601887586206896</v>
      </c>
      <c r="H20" s="364">
        <f>IFERROR('4. Fix Cost (LC) '!G20/'Input-FX Rates'!$H$16,0)</f>
        <v>-6.601887586206896</v>
      </c>
      <c r="I20" s="364">
        <f>IFERROR('4. Fix Cost (LC) '!H20/'Input-FX Rates'!$H$16,0)</f>
        <v>-6.601887586206896</v>
      </c>
      <c r="J20" s="364">
        <f>IFERROR('4. Fix Cost (LC) '!I20/'Input-FX Rates'!$H$16,0)</f>
        <v>-6.601887586206896</v>
      </c>
      <c r="K20" s="364">
        <f>IFERROR('4. Fix Cost (LC) '!J20/'Input-FX Rates'!$H$16,0)</f>
        <v>-6.601887586206896</v>
      </c>
      <c r="L20" s="364">
        <f>IFERROR('4. Fix Cost (LC) '!K20/'Input-FX Rates'!$H$16,0)</f>
        <v>-6.601887586206896</v>
      </c>
      <c r="M20" s="364">
        <f>IFERROR('4. Fix Cost (LC) '!L20/'Input-FX Rates'!$H$16,0)</f>
        <v>-6.601887586206896</v>
      </c>
      <c r="N20" s="364">
        <f>IFERROR('4. Fix Cost (LC) '!M20/'Input-FX Rates'!$H$16,0)</f>
        <v>-6.601887586206896</v>
      </c>
      <c r="O20" s="364">
        <f>IFERROR('4. Fix Cost (LC) '!N20/'Input-FX Rates'!$H$16,0)</f>
        <v>-6.601887586206896</v>
      </c>
      <c r="P20" s="363">
        <f>IFERROR('4. Fix Cost (LC) '!O20/'Input-FX Rates'!$H$16,0)</f>
        <v>-6.601887586206896</v>
      </c>
      <c r="Q20" s="353">
        <f>IFERROR('4. Fix Cost (LC) '!P20/'Input-FX Rates'!$H$16,0)</f>
        <v>-79.222651034482752</v>
      </c>
      <c r="R20" s="354">
        <f>IFERROR('4. Fix Cost (LC) '!Q20/'Input-FX Rates'!$H$16,0)</f>
        <v>0</v>
      </c>
      <c r="S20" s="355">
        <f t="shared" si="0"/>
        <v>9.7412627813813089</v>
      </c>
      <c r="T20" s="362">
        <f t="shared" si="1"/>
        <v>-0.10949678766992654</v>
      </c>
      <c r="U20" s="355">
        <f t="shared" si="2"/>
        <v>6.8993344827586327</v>
      </c>
      <c r="V20" s="760">
        <f t="shared" si="3"/>
        <v>-8.0111186955593383E-2</v>
      </c>
      <c r="W20" s="372" t="str">
        <f>IF(ISBLANK('4. Fix Cost (LC) '!T20),"",'4. Fix Cost (LC) '!T20)</f>
        <v/>
      </c>
      <c r="Y20" s="266" t="s">
        <v>456</v>
      </c>
    </row>
    <row r="21" spans="1:25" s="334" customFormat="1" ht="15.75" outlineLevel="1" x14ac:dyDescent="0.2">
      <c r="A21" s="340" t="s">
        <v>457</v>
      </c>
      <c r="B21" s="345">
        <f>IFERROR('4. Fix Cost (LC) '!B21/'Input-FX Rates'!$E$16,0)</f>
        <v>-205.51669105443045</v>
      </c>
      <c r="C21" s="336">
        <f>IFERROR('4. Fix Cost (LC) '!C21/'Input-FX Rates'!$G$16,0)</f>
        <v>-501.38811823611042</v>
      </c>
      <c r="D21" s="339">
        <f>IFERROR('4. Fix Cost (LC) '!C21/'Input-FX Rates'!$H$16,0)</f>
        <v>-485.37140965517239</v>
      </c>
      <c r="E21" s="336">
        <f>IFERROR('4. Fix Cost (LC) '!D21/'Input-FX Rates'!$H$16,0)</f>
        <v>-77.048568275862067</v>
      </c>
      <c r="F21" s="336">
        <f>IFERROR('4. Fix Cost (LC) '!E21/'Input-FX Rates'!$H$16,0)</f>
        <v>-77.048568275862067</v>
      </c>
      <c r="G21" s="336">
        <f>IFERROR('4. Fix Cost (LC) '!F21/'Input-FX Rates'!$H$16,0)</f>
        <v>-77.048568275862067</v>
      </c>
      <c r="H21" s="336">
        <f>IFERROR('4. Fix Cost (LC) '!G21/'Input-FX Rates'!$H$16,0)</f>
        <v>-77.048568275862067</v>
      </c>
      <c r="I21" s="336">
        <f>IFERROR('4. Fix Cost (LC) '!H21/'Input-FX Rates'!$H$16,0)</f>
        <v>-77.048568275862067</v>
      </c>
      <c r="J21" s="336">
        <f>IFERROR('4. Fix Cost (LC) '!I21/'Input-FX Rates'!$H$16,0)</f>
        <v>-77.048568275862067</v>
      </c>
      <c r="K21" s="336">
        <f>IFERROR('4. Fix Cost (LC) '!J21/'Input-FX Rates'!$H$16,0)</f>
        <v>-77.048568275862067</v>
      </c>
      <c r="L21" s="336">
        <f>IFERROR('4. Fix Cost (LC) '!K21/'Input-FX Rates'!$H$16,0)</f>
        <v>-77.048568275862067</v>
      </c>
      <c r="M21" s="336">
        <f>IFERROR('4. Fix Cost (LC) '!L21/'Input-FX Rates'!$H$16,0)</f>
        <v>-77.048568275862067</v>
      </c>
      <c r="N21" s="336">
        <f>IFERROR('4. Fix Cost (LC) '!M21/'Input-FX Rates'!$H$16,0)</f>
        <v>-77.048568275862067</v>
      </c>
      <c r="O21" s="336">
        <f>IFERROR('4. Fix Cost (LC) '!N21/'Input-FX Rates'!$H$16,0)</f>
        <v>-77.048568275862067</v>
      </c>
      <c r="P21" s="339">
        <f>IFERROR('4. Fix Cost (LC) '!O21/'Input-FX Rates'!$H$16,0)</f>
        <v>-77.048568275862067</v>
      </c>
      <c r="Q21" s="345">
        <f>IFERROR('4. Fix Cost (LC) '!P21/'Input-FX Rates'!$H$16,0)</f>
        <v>-924.5828193103448</v>
      </c>
      <c r="R21" s="339">
        <f>IFERROR('4. Fix Cost (LC) '!Q21/'Input-FX Rates'!$H$16,0)</f>
        <v>0</v>
      </c>
      <c r="S21" s="336">
        <f t="shared" si="0"/>
        <v>-423.19470107423439</v>
      </c>
      <c r="T21" s="335">
        <f t="shared" si="1"/>
        <v>0.84404613049674682</v>
      </c>
      <c r="U21" s="336">
        <f t="shared" si="2"/>
        <v>-439.21140965517242</v>
      </c>
      <c r="V21" s="761">
        <f t="shared" si="3"/>
        <v>0.90489757105225066</v>
      </c>
      <c r="W21" s="361" t="str">
        <f>IF(ISBLANK('4. Fix Cost (LC) '!T21),"",'4. Fix Cost (LC) '!T21)</f>
        <v/>
      </c>
      <c r="Y21" s="910"/>
    </row>
    <row r="22" spans="1:25" ht="15" outlineLevel="1" x14ac:dyDescent="0.2">
      <c r="A22" s="356" t="s">
        <v>458</v>
      </c>
      <c r="B22" s="96">
        <f>IFERROR('4. Fix Cost (LC) '!B22/'Input-FX Rates'!$E$16,0)</f>
        <v>0</v>
      </c>
      <c r="C22" s="96">
        <f>IFERROR('4. Fix Cost (LC) '!C22/'Input-FX Rates'!$G$16,0)</f>
        <v>0</v>
      </c>
      <c r="D22" s="96">
        <f>IFERROR('4. Fix Cost (LC) '!C22/'Input-FX Rates'!$H$16,0)</f>
        <v>0</v>
      </c>
      <c r="E22" s="752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52">
        <f>IFERROR('4. Fix Cost (LC) '!P22/'Input-FX Rates'!$H$16,0)</f>
        <v>0</v>
      </c>
      <c r="R22" s="96">
        <f>IFERROR('4. Fix Cost (LC) '!Q22/'Input-FX Rates'!$H$16,0)</f>
        <v>0</v>
      </c>
      <c r="S22" s="753"/>
      <c r="T22" s="362"/>
      <c r="U22" s="753">
        <f t="shared" si="2"/>
        <v>0</v>
      </c>
      <c r="V22" s="760">
        <f t="shared" si="3"/>
        <v>0</v>
      </c>
      <c r="W22" s="372" t="str">
        <f>IF(ISBLANK('4. Fix Cost (LC) '!T22),"",'4. Fix Cost (LC) '!T22)</f>
        <v/>
      </c>
      <c r="Y22" s="638"/>
    </row>
    <row r="23" spans="1:25" s="334" customFormat="1" ht="15.75" x14ac:dyDescent="0.2">
      <c r="A23" s="340" t="s">
        <v>459</v>
      </c>
      <c r="B23" s="345">
        <f>IFERROR('4. Fix Cost (LC) '!B23/'Input-FX Rates'!$E$16,0)</f>
        <v>-584.93222606875224</v>
      </c>
      <c r="C23" s="336">
        <f>IFERROR('4. Fix Cost (LC) '!C23/'Input-FX Rates'!$G$16,0)</f>
        <v>-1165.6587397467918</v>
      </c>
      <c r="D23" s="339">
        <f>IFERROR('4. Fix Cost (LC) '!C23/'Input-FX Rates'!$H$16,0)</f>
        <v>-1128.4220848275863</v>
      </c>
      <c r="E23" s="336">
        <f>IFERROR('4. Fix Cost (LC) '!D23/'Input-FX Rates'!$H$16,0)</f>
        <v>-141.60042758620691</v>
      </c>
      <c r="F23" s="336">
        <f>IFERROR('4. Fix Cost (LC) '!E23/'Input-FX Rates'!$H$16,0)</f>
        <v>-142.55508551724139</v>
      </c>
      <c r="G23" s="336">
        <f>IFERROR('4. Fix Cost (LC) '!F23/'Input-FX Rates'!$H$16,0)</f>
        <v>-138.55888000000002</v>
      </c>
      <c r="H23" s="336">
        <f>IFERROR('4. Fix Cost (LC) '!G23/'Input-FX Rates'!$H$16,0)</f>
        <v>-131.16786896551724</v>
      </c>
      <c r="I23" s="336">
        <f>IFERROR('4. Fix Cost (LC) '!H23/'Input-FX Rates'!$H$16,0)</f>
        <v>-135.0778772413793</v>
      </c>
      <c r="J23" s="336">
        <f>IFERROR('4. Fix Cost (LC) '!I23/'Input-FX Rates'!$H$16,0)</f>
        <v>-134.10180413793105</v>
      </c>
      <c r="K23" s="336">
        <f>IFERROR('4. Fix Cost (LC) '!J23/'Input-FX Rates'!$H$16,0)</f>
        <v>-147.31330137931033</v>
      </c>
      <c r="L23" s="336">
        <f>IFERROR('4. Fix Cost (LC) '!K23/'Input-FX Rates'!$H$16,0)</f>
        <v>-142.15761241379312</v>
      </c>
      <c r="M23" s="336">
        <f>IFERROR('4. Fix Cost (LC) '!L23/'Input-FX Rates'!$H$16,0)</f>
        <v>-142.42450689655172</v>
      </c>
      <c r="N23" s="336">
        <f>IFERROR('4. Fix Cost (LC) '!M23/'Input-FX Rates'!$H$16,0)</f>
        <v>-137.26193862068965</v>
      </c>
      <c r="O23" s="336">
        <f>IFERROR('4. Fix Cost (LC) '!N23/'Input-FX Rates'!$H$16,0)</f>
        <v>-137.89015931034484</v>
      </c>
      <c r="P23" s="339">
        <f>IFERROR('4. Fix Cost (LC) '!O23/'Input-FX Rates'!$H$16,0)</f>
        <v>-138.66999655172415</v>
      </c>
      <c r="Q23" s="345">
        <f>IFERROR('4. Fix Cost (LC) '!P23/'Input-FX Rates'!$H$16,0)</f>
        <v>-1668.7794586206896</v>
      </c>
      <c r="R23" s="339">
        <f>IFERROR('4. Fix Cost (LC) '!Q23/'Input-FX Rates'!$H$16,0)</f>
        <v>-630</v>
      </c>
      <c r="S23" s="336">
        <f t="shared" si="0"/>
        <v>-503.12071887389789</v>
      </c>
      <c r="T23" s="335">
        <f t="shared" si="1"/>
        <v>0.43161922243485029</v>
      </c>
      <c r="U23" s="336">
        <f t="shared" si="2"/>
        <v>-540.35737379310331</v>
      </c>
      <c r="V23" s="761">
        <f t="shared" si="3"/>
        <v>0.47886104061466095</v>
      </c>
      <c r="W23" s="361" t="str">
        <f>IF(ISBLANK('4. Fix Cost (LC) '!T23),"",'4. Fix Cost (LC) '!T23)</f>
        <v/>
      </c>
      <c r="Y23" s="19" t="s">
        <v>460</v>
      </c>
    </row>
    <row r="24" spans="1:25" s="334" customFormat="1" ht="15.75" x14ac:dyDescent="0.2">
      <c r="A24" s="340" t="s">
        <v>461</v>
      </c>
      <c r="B24" s="345">
        <f>IFERROR('4. Fix Cost (LC) '!B24/'Input-FX Rates'!$E$16,0)</f>
        <v>-98.558169688609254</v>
      </c>
      <c r="C24" s="336">
        <f>IFERROR('4. Fix Cost (LC) '!C24/'Input-FX Rates'!$G$16,0)</f>
        <v>-212.87887994197882</v>
      </c>
      <c r="D24" s="339">
        <f>IFERROR('4. Fix Cost (LC) '!C24/'Input-FX Rates'!$H$16,0)</f>
        <v>-206.07852137931036</v>
      </c>
      <c r="E24" s="336">
        <f>IFERROR('4. Fix Cost (LC) '!D24/'Input-FX Rates'!$H$16,0)</f>
        <v>-10.998934482758621</v>
      </c>
      <c r="F24" s="336">
        <f>IFERROR('4. Fix Cost (LC) '!E24/'Input-FX Rates'!$H$16,0)</f>
        <v>-10.998934482758621</v>
      </c>
      <c r="G24" s="336">
        <f>IFERROR('4. Fix Cost (LC) '!F24/'Input-FX Rates'!$H$16,0)</f>
        <v>-10.712955862068966</v>
      </c>
      <c r="H24" s="336">
        <f>IFERROR('4. Fix Cost (LC) '!G24/'Input-FX Rates'!$H$16,0)</f>
        <v>-10.998934482758621</v>
      </c>
      <c r="I24" s="336">
        <f>IFERROR('4. Fix Cost (LC) '!H24/'Input-FX Rates'!$H$16,0)</f>
        <v>-11.284913103448275</v>
      </c>
      <c r="J24" s="336">
        <f>IFERROR('4. Fix Cost (LC) '!I24/'Input-FX Rates'!$H$16,0)</f>
        <v>-10.426976551724138</v>
      </c>
      <c r="K24" s="336">
        <f>IFERROR('4. Fix Cost (LC) '!J24/'Input-FX Rates'!$H$16,0)</f>
        <v>-11.284913103448275</v>
      </c>
      <c r="L24" s="336">
        <f>IFERROR('4. Fix Cost (LC) '!K24/'Input-FX Rates'!$H$16,0)</f>
        <v>-10.998404137931034</v>
      </c>
      <c r="M24" s="336">
        <f>IFERROR('4. Fix Cost (LC) '!L24/'Input-FX Rates'!$H$16,0)</f>
        <v>-9.8539489655172421</v>
      </c>
      <c r="N24" s="336">
        <f>IFERROR('4. Fix Cost (LC) '!M24/'Input-FX Rates'!$H$16,0)</f>
        <v>-11.28384275862069</v>
      </c>
      <c r="O24" s="336">
        <f>IFERROR('4. Fix Cost (LC) '!N24/'Input-FX Rates'!$H$16,0)</f>
        <v>-10.997864137931035</v>
      </c>
      <c r="P24" s="339">
        <f>IFERROR('4. Fix Cost (LC) '!O24/'Input-FX Rates'!$H$16,0)</f>
        <v>-9.5679689655172417</v>
      </c>
      <c r="Q24" s="345">
        <f>IFERROR('4. Fix Cost (LC) '!P24/'Input-FX Rates'!$H$16,0)</f>
        <v>-129.40859103448275</v>
      </c>
      <c r="R24" s="339">
        <f>IFERROR('4. Fix Cost (LC) '!Q24/'Input-FX Rates'!$H$16,0)</f>
        <v>0</v>
      </c>
      <c r="S24" s="336">
        <f t="shared" si="0"/>
        <v>83.470288907496069</v>
      </c>
      <c r="T24" s="335">
        <f t="shared" si="1"/>
        <v>-0.39210225518964725</v>
      </c>
      <c r="U24" s="336">
        <f t="shared" si="2"/>
        <v>76.669930344827605</v>
      </c>
      <c r="V24" s="761">
        <f t="shared" si="3"/>
        <v>-0.37204231586904735</v>
      </c>
      <c r="W24" s="361" t="str">
        <f>IF(ISBLANK('4. Fix Cost (LC) '!T24),"",'4. Fix Cost (LC) '!T24)</f>
        <v/>
      </c>
      <c r="Y24" s="19" t="s">
        <v>462</v>
      </c>
    </row>
    <row r="25" spans="1:25" s="242" customFormat="1" ht="15" outlineLevel="1" x14ac:dyDescent="0.2">
      <c r="A25" s="368" t="s">
        <v>463</v>
      </c>
      <c r="B25" s="332">
        <f>IFERROR('4. Fix Cost (LC) '!B25/'Input-FX Rates'!$E$16,0)</f>
        <v>-3.3057492308363772</v>
      </c>
      <c r="C25" s="222">
        <f>IFERROR('4. Fix Cost (LC) '!C25/'Input-FX Rates'!$G$16,0)</f>
        <v>-5.0909034019673456</v>
      </c>
      <c r="D25" s="331">
        <f>IFERROR('4. Fix Cost (LC) '!C25/'Input-FX Rates'!$H$16,0)</f>
        <v>-4.9282758620689657</v>
      </c>
      <c r="E25" s="364">
        <f>IFERROR('4. Fix Cost (LC) '!D25/'Input-FX Rates'!$H$16,0)</f>
        <v>-0.73926896551724142</v>
      </c>
      <c r="F25" s="364">
        <f>IFERROR('4. Fix Cost (LC) '!E25/'Input-FX Rates'!$H$16,0)</f>
        <v>-0.95844482758620686</v>
      </c>
      <c r="G25" s="364">
        <f>IFERROR('4. Fix Cost (LC) '!F25/'Input-FX Rates'!$H$16,0)</f>
        <v>-0.61748413793103452</v>
      </c>
      <c r="H25" s="364">
        <f>IFERROR('4. Fix Cost (LC) '!G25/'Input-FX Rates'!$H$16,0)</f>
        <v>-0.2733510344827586</v>
      </c>
      <c r="I25" s="364">
        <f>IFERROR('4. Fix Cost (LC) '!H25/'Input-FX Rates'!$H$16,0)</f>
        <v>-0.41543310344827589</v>
      </c>
      <c r="J25" s="364">
        <f>IFERROR('4. Fix Cost (LC) '!I25/'Input-FX Rates'!$H$16,0)</f>
        <v>-0.27160827586206898</v>
      </c>
      <c r="K25" s="364">
        <f>IFERROR('4. Fix Cost (LC) '!J25/'Input-FX Rates'!$H$16,0)</f>
        <v>-0.32869655172413792</v>
      </c>
      <c r="L25" s="364">
        <f>IFERROR('4. Fix Cost (LC) '!K25/'Input-FX Rates'!$H$16,0)</f>
        <v>-0.23449862068965519</v>
      </c>
      <c r="M25" s="364">
        <f>IFERROR('4. Fix Cost (LC) '!L25/'Input-FX Rates'!$H$16,0)</f>
        <v>-0.5051289655172414</v>
      </c>
      <c r="N25" s="364">
        <f>IFERROR('4. Fix Cost (LC) '!M25/'Input-FX Rates'!$H$16,0)</f>
        <v>-0.25849862068965518</v>
      </c>
      <c r="O25" s="364">
        <f>IFERROR('4. Fix Cost (LC) '!N25/'Input-FX Rates'!$H$16,0)</f>
        <v>-0.38788413793103449</v>
      </c>
      <c r="P25" s="363">
        <f>IFERROR('4. Fix Cost (LC) '!O25/'Input-FX Rates'!$H$16,0)</f>
        <v>-0.26358413793103447</v>
      </c>
      <c r="Q25" s="332">
        <f>IFERROR('4. Fix Cost (LC) '!P25/'Input-FX Rates'!$H$16,0)</f>
        <v>-5.2538813793103447</v>
      </c>
      <c r="R25" s="363">
        <f>IFERROR('4. Fix Cost (LC) '!Q25/'Input-FX Rates'!$H$16,0)</f>
        <v>0</v>
      </c>
      <c r="S25" s="222">
        <f t="shared" si="0"/>
        <v>-0.16297797734299913</v>
      </c>
      <c r="T25" s="297">
        <f t="shared" si="1"/>
        <v>3.2013567038026602E-2</v>
      </c>
      <c r="U25" s="222">
        <f t="shared" si="2"/>
        <v>-0.32560551724137898</v>
      </c>
      <c r="V25" s="223">
        <f t="shared" si="3"/>
        <v>6.6068849706129251E-2</v>
      </c>
      <c r="W25" s="367" t="str">
        <f>IF(ISBLANK('4. Fix Cost (LC) '!T25),"",'4. Fix Cost (LC) '!T25)</f>
        <v/>
      </c>
      <c r="Y25" s="266" t="s">
        <v>464</v>
      </c>
    </row>
    <row r="26" spans="1:25" s="242" customFormat="1" ht="15" outlineLevel="1" x14ac:dyDescent="0.2">
      <c r="A26" s="368" t="s">
        <v>465</v>
      </c>
      <c r="B26" s="332">
        <f>IFERROR('4. Fix Cost (LC) '!B26/'Input-FX Rates'!$E$16,0)</f>
        <v>-37.16610320750479</v>
      </c>
      <c r="C26" s="222">
        <f>IFERROR('4. Fix Cost (LC) '!C26/'Input-FX Rates'!$G$16,0)</f>
        <v>-70.78910726769989</v>
      </c>
      <c r="D26" s="331">
        <f>IFERROR('4. Fix Cost (LC) '!C26/'Input-FX Rates'!$H$16,0)</f>
        <v>-68.527768275862073</v>
      </c>
      <c r="E26" s="371">
        <f>IFERROR('4. Fix Cost (LC) '!D26/'Input-FX Rates'!$H$16,0)</f>
        <v>-5.8559924137931034</v>
      </c>
      <c r="F26" s="370">
        <f>IFERROR('4. Fix Cost (LC) '!E26/'Input-FX Rates'!$H$16,0)</f>
        <v>-5.0315882758620685</v>
      </c>
      <c r="G26" s="370">
        <f>IFERROR('4. Fix Cost (LC) '!F26/'Input-FX Rates'!$H$16,0)</f>
        <v>-5.0313110344827585</v>
      </c>
      <c r="H26" s="370">
        <f>IFERROR('4. Fix Cost (LC) '!G26/'Input-FX Rates'!$H$16,0)</f>
        <v>-4.7202027586206894</v>
      </c>
      <c r="I26" s="370">
        <f>IFERROR('4. Fix Cost (LC) '!H26/'Input-FX Rates'!$H$16,0)</f>
        <v>-4.9884972413793101</v>
      </c>
      <c r="J26" s="370">
        <f>IFERROR('4. Fix Cost (LC) '!I26/'Input-FX Rates'!$H$16,0)</f>
        <v>-4.852411724137931</v>
      </c>
      <c r="K26" s="370">
        <f>IFERROR('4. Fix Cost (LC) '!J26/'Input-FX Rates'!$H$16,0)</f>
        <v>-6.1874855172413792</v>
      </c>
      <c r="L26" s="370">
        <f>IFERROR('4. Fix Cost (LC) '!K26/'Input-FX Rates'!$H$16,0)</f>
        <v>-5.2661931034482752</v>
      </c>
      <c r="M26" s="370">
        <f>IFERROR('4. Fix Cost (LC) '!L26/'Input-FX Rates'!$H$16,0)</f>
        <v>-5.1237668965517242</v>
      </c>
      <c r="N26" s="370">
        <f>IFERROR('4. Fix Cost (LC) '!M26/'Input-FX Rates'!$H$16,0)</f>
        <v>-4.9007868965517236</v>
      </c>
      <c r="O26" s="370">
        <f>IFERROR('4. Fix Cost (LC) '!N26/'Input-FX Rates'!$H$16,0)</f>
        <v>-4.9831310344827582</v>
      </c>
      <c r="P26" s="370">
        <f>IFERROR('4. Fix Cost (LC) '!O26/'Input-FX Rates'!$H$16,0)</f>
        <v>-5.0282296551724137</v>
      </c>
      <c r="Q26" s="332">
        <f>IFERROR('4. Fix Cost (LC) '!P26/'Input-FX Rates'!$H$16,0)</f>
        <v>-61.969596551724145</v>
      </c>
      <c r="R26" s="363">
        <f>IFERROR('4. Fix Cost (LC) '!Q26/'Input-FX Rates'!$H$16,0)</f>
        <v>0</v>
      </c>
      <c r="S26" s="222">
        <f t="shared" si="0"/>
        <v>8.8195107159757455</v>
      </c>
      <c r="T26" s="297">
        <f t="shared" si="1"/>
        <v>-0.1245885286082703</v>
      </c>
      <c r="U26" s="222">
        <f t="shared" si="2"/>
        <v>6.558171724137928</v>
      </c>
      <c r="V26" s="223">
        <f t="shared" si="3"/>
        <v>-9.570093830777715E-2</v>
      </c>
      <c r="W26" s="367" t="str">
        <f>IF(ISBLANK('4. Fix Cost (LC) '!T26),"",'4. Fix Cost (LC) '!T26)</f>
        <v xml:space="preserve">Sales decrease impact </v>
      </c>
      <c r="Y26" s="266" t="s">
        <v>467</v>
      </c>
    </row>
    <row r="27" spans="1:25" s="242" customFormat="1" ht="15" outlineLevel="1" x14ac:dyDescent="0.2">
      <c r="A27" s="368" t="s">
        <v>468</v>
      </c>
      <c r="B27" s="332">
        <f>IFERROR('4. Fix Cost (LC) '!B27/'Input-FX Rates'!$E$16,0)</f>
        <v>0</v>
      </c>
      <c r="C27" s="222">
        <f>IFERROR('4. Fix Cost (LC) '!C27/'Input-FX Rates'!$G$16,0)</f>
        <v>0</v>
      </c>
      <c r="D27" s="331">
        <f>IFERROR('4. Fix Cost (LC) '!C27/'Input-FX Rates'!$H$16,0)</f>
        <v>0</v>
      </c>
      <c r="E27" s="222">
        <f>IFERROR('4. Fix Cost (LC) '!D27/'Input-FX Rates'!$H$16,0)</f>
        <v>0</v>
      </c>
      <c r="F27" s="222">
        <f>IFERROR('4. Fix Cost (LC) '!E27/'Input-FX Rates'!$H$16,0)</f>
        <v>0</v>
      </c>
      <c r="G27" s="222">
        <f>IFERROR('4. Fix Cost (LC) '!F27/'Input-FX Rates'!$H$16,0)</f>
        <v>0</v>
      </c>
      <c r="H27" s="222">
        <f>IFERROR('4. Fix Cost (LC) '!G27/'Input-FX Rates'!$H$16,0)</f>
        <v>0</v>
      </c>
      <c r="I27" s="222">
        <f>IFERROR('4. Fix Cost (LC) '!H27/'Input-FX Rates'!$H$16,0)</f>
        <v>0</v>
      </c>
      <c r="J27" s="222">
        <f>IFERROR('4. Fix Cost (LC) '!I27/'Input-FX Rates'!$H$16,0)</f>
        <v>0</v>
      </c>
      <c r="K27" s="222">
        <f>IFERROR('4. Fix Cost (LC) '!J27/'Input-FX Rates'!$H$16,0)</f>
        <v>0</v>
      </c>
      <c r="L27" s="222">
        <f>IFERROR('4. Fix Cost (LC) '!K27/'Input-FX Rates'!$H$16,0)</f>
        <v>0</v>
      </c>
      <c r="M27" s="222">
        <f>IFERROR('4. Fix Cost (LC) '!L27/'Input-FX Rates'!$H$16,0)</f>
        <v>0</v>
      </c>
      <c r="N27" s="222">
        <f>IFERROR('4. Fix Cost (LC) '!M27/'Input-FX Rates'!$H$16,0)</f>
        <v>0</v>
      </c>
      <c r="O27" s="222">
        <f>IFERROR('4. Fix Cost (LC) '!N27/'Input-FX Rates'!$H$16,0)</f>
        <v>0</v>
      </c>
      <c r="P27" s="331">
        <f>IFERROR('4. Fix Cost (LC) '!O27/'Input-FX Rates'!$H$16,0)</f>
        <v>0</v>
      </c>
      <c r="Q27" s="369">
        <f>IFERROR('4. Fix Cost (LC) '!P27/'Input-FX Rates'!$H$16,0)</f>
        <v>0</v>
      </c>
      <c r="R27" s="363">
        <f>IFERROR('4. Fix Cost (LC) '!Q27/'Input-FX Rates'!$H$16,0)</f>
        <v>0</v>
      </c>
      <c r="S27" s="222">
        <f t="shared" si="0"/>
        <v>0</v>
      </c>
      <c r="T27" s="297">
        <f t="shared" si="1"/>
        <v>0</v>
      </c>
      <c r="U27" s="222">
        <f t="shared" si="2"/>
        <v>0</v>
      </c>
      <c r="V27" s="223">
        <f t="shared" si="3"/>
        <v>0</v>
      </c>
      <c r="W27" s="367" t="str">
        <f>IF(ISBLANK('4. Fix Cost (LC) '!T27),"",'4. Fix Cost (LC) '!T27)</f>
        <v/>
      </c>
      <c r="Y27" s="266" t="s">
        <v>469</v>
      </c>
    </row>
    <row r="28" spans="1:25" s="242" customFormat="1" ht="15" outlineLevel="1" x14ac:dyDescent="0.2">
      <c r="A28" s="368" t="s">
        <v>470</v>
      </c>
      <c r="B28" s="332">
        <f>IFERROR('4. Fix Cost (LC) '!B28/'Input-FX Rates'!$E$16,0)</f>
        <v>0</v>
      </c>
      <c r="C28" s="222">
        <f>IFERROR('4. Fix Cost (LC) '!C28/'Input-FX Rates'!$G$16,0)</f>
        <v>0</v>
      </c>
      <c r="D28" s="331">
        <f>IFERROR('4. Fix Cost (LC) '!C28/'Input-FX Rates'!$H$16,0)</f>
        <v>0</v>
      </c>
      <c r="E28" s="222">
        <f>IFERROR('4. Fix Cost (LC) '!D28/'Input-FX Rates'!$H$16,0)</f>
        <v>0</v>
      </c>
      <c r="F28" s="222">
        <f>IFERROR('4. Fix Cost (LC) '!E28/'Input-FX Rates'!$H$16,0)</f>
        <v>0</v>
      </c>
      <c r="G28" s="222">
        <f>IFERROR('4. Fix Cost (LC) '!F28/'Input-FX Rates'!$H$16,0)</f>
        <v>0</v>
      </c>
      <c r="H28" s="222">
        <f>IFERROR('4. Fix Cost (LC) '!G28/'Input-FX Rates'!$H$16,0)</f>
        <v>0</v>
      </c>
      <c r="I28" s="222">
        <f>IFERROR('4. Fix Cost (LC) '!H28/'Input-FX Rates'!$H$16,0)</f>
        <v>0</v>
      </c>
      <c r="J28" s="222">
        <f>IFERROR('4. Fix Cost (LC) '!I28/'Input-FX Rates'!$H$16,0)</f>
        <v>0</v>
      </c>
      <c r="K28" s="222">
        <f>IFERROR('4. Fix Cost (LC) '!J28/'Input-FX Rates'!$H$16,0)</f>
        <v>0</v>
      </c>
      <c r="L28" s="222">
        <f>IFERROR('4. Fix Cost (LC) '!K28/'Input-FX Rates'!$H$16,0)</f>
        <v>0</v>
      </c>
      <c r="M28" s="222">
        <f>IFERROR('4. Fix Cost (LC) '!L28/'Input-FX Rates'!$H$16,0)</f>
        <v>0</v>
      </c>
      <c r="N28" s="222">
        <f>IFERROR('4. Fix Cost (LC) '!M28/'Input-FX Rates'!$H$16,0)</f>
        <v>0</v>
      </c>
      <c r="O28" s="222">
        <f>IFERROR('4. Fix Cost (LC) '!N28/'Input-FX Rates'!$H$16,0)</f>
        <v>0</v>
      </c>
      <c r="P28" s="331">
        <f>IFERROR('4. Fix Cost (LC) '!O28/'Input-FX Rates'!$H$16,0)</f>
        <v>0</v>
      </c>
      <c r="Q28" s="369">
        <f>IFERROR('4. Fix Cost (LC) '!P28/'Input-FX Rates'!$H$16,0)</f>
        <v>0</v>
      </c>
      <c r="R28" s="363">
        <f>IFERROR('4. Fix Cost (LC) '!Q28/'Input-FX Rates'!$H$16,0)</f>
        <v>0</v>
      </c>
      <c r="S28" s="222">
        <f t="shared" si="0"/>
        <v>0</v>
      </c>
      <c r="T28" s="297">
        <f t="shared" si="1"/>
        <v>0</v>
      </c>
      <c r="U28" s="222">
        <f t="shared" si="2"/>
        <v>0</v>
      </c>
      <c r="V28" s="223">
        <f t="shared" si="3"/>
        <v>0</v>
      </c>
      <c r="W28" s="367" t="str">
        <f>IF(ISBLANK('4. Fix Cost (LC) '!T28),"",'4. Fix Cost (LC) '!T28)</f>
        <v/>
      </c>
      <c r="Y28" s="266" t="s">
        <v>471</v>
      </c>
    </row>
    <row r="29" spans="1:25" s="242" customFormat="1" ht="15" outlineLevel="1" x14ac:dyDescent="0.2">
      <c r="A29" s="368" t="s">
        <v>441</v>
      </c>
      <c r="B29" s="332">
        <f>IFERROR('4. Fix Cost (LC) '!B29/'Input-FX Rates'!$E$16,0)</f>
        <v>-4.9827213106576371</v>
      </c>
      <c r="C29" s="222">
        <f>IFERROR('4. Fix Cost (LC) '!C29/'Input-FX Rates'!$G$16,0)</f>
        <v>-6.8958708783897231</v>
      </c>
      <c r="D29" s="331">
        <f>IFERROR('4. Fix Cost (LC) '!C29/'Input-FX Rates'!$H$16,0)</f>
        <v>-6.6755841379310406</v>
      </c>
      <c r="E29" s="222">
        <f>IFERROR('4. Fix Cost (LC) '!D29/'Input-FX Rates'!$H$16,0)</f>
        <v>-0.3588797701149426</v>
      </c>
      <c r="F29" s="222">
        <f>IFERROR('4. Fix Cost (LC) '!E29/'Input-FX Rates'!$H$16,0)</f>
        <v>-0.3588797701149426</v>
      </c>
      <c r="G29" s="222">
        <f>IFERROR('4. Fix Cost (LC) '!F29/'Input-FX Rates'!$H$16,0)</f>
        <v>-0.3588797701149426</v>
      </c>
      <c r="H29" s="222">
        <f>IFERROR('4. Fix Cost (LC) '!G29/'Input-FX Rates'!$H$16,0)</f>
        <v>-0.3588797701149426</v>
      </c>
      <c r="I29" s="222">
        <f>IFERROR('4. Fix Cost (LC) '!H29/'Input-FX Rates'!$H$16,0)</f>
        <v>-0.3588797701149426</v>
      </c>
      <c r="J29" s="222">
        <f>IFERROR('4. Fix Cost (LC) '!I29/'Input-FX Rates'!$H$16,0)</f>
        <v>-0.3588797701149426</v>
      </c>
      <c r="K29" s="222">
        <f>IFERROR('4. Fix Cost (LC) '!J29/'Input-FX Rates'!$H$16,0)</f>
        <v>-0.3588797701149426</v>
      </c>
      <c r="L29" s="222">
        <f>IFERROR('4. Fix Cost (LC) '!K29/'Input-FX Rates'!$H$16,0)</f>
        <v>-0.3588797701149426</v>
      </c>
      <c r="M29" s="222">
        <f>IFERROR('4. Fix Cost (LC) '!L29/'Input-FX Rates'!$H$16,0)</f>
        <v>-0.3588797701149426</v>
      </c>
      <c r="N29" s="222">
        <f>IFERROR('4. Fix Cost (LC) '!M29/'Input-FX Rates'!$H$16,0)</f>
        <v>-0.3588797701149426</v>
      </c>
      <c r="O29" s="222">
        <f>IFERROR('4. Fix Cost (LC) '!N29/'Input-FX Rates'!$H$16,0)</f>
        <v>-0.3588797701149426</v>
      </c>
      <c r="P29" s="331">
        <f>IFERROR('4. Fix Cost (LC) '!O29/'Input-FX Rates'!$H$16,0)</f>
        <v>-0.3588797701149426</v>
      </c>
      <c r="Q29" s="332">
        <f>IFERROR('4. Fix Cost (LC) '!P29/'Input-FX Rates'!$H$16,0)</f>
        <v>-4.3065572413793118</v>
      </c>
      <c r="R29" s="363">
        <f>IFERROR('4. Fix Cost (LC) '!Q29/'Input-FX Rates'!$H$16,0)</f>
        <v>0</v>
      </c>
      <c r="S29" s="222">
        <f t="shared" si="0"/>
        <v>2.5893136370104113</v>
      </c>
      <c r="T29" s="297">
        <f t="shared" si="1"/>
        <v>-0.37548754648594151</v>
      </c>
      <c r="U29" s="222">
        <f t="shared" si="2"/>
        <v>2.3690268965517287</v>
      </c>
      <c r="V29" s="223">
        <f t="shared" si="3"/>
        <v>-0.35487934053452885</v>
      </c>
      <c r="W29" s="367" t="str">
        <f>IF(ISBLANK('4. Fix Cost (LC) '!T29),"",'4. Fix Cost (LC) '!T29)</f>
        <v/>
      </c>
      <c r="Y29" s="266" t="s">
        <v>472</v>
      </c>
    </row>
    <row r="30" spans="1:25" s="334" customFormat="1" ht="15.75" x14ac:dyDescent="0.2">
      <c r="A30" s="340" t="s">
        <v>473</v>
      </c>
      <c r="B30" s="345">
        <f>IFERROR('4. Fix Cost (LC) '!B30/'Input-FX Rates'!$E$16,0)</f>
        <v>-45.454573748998804</v>
      </c>
      <c r="C30" s="336">
        <f>IFERROR('4. Fix Cost (LC) '!C30/'Input-FX Rates'!$G$16,0)</f>
        <v>-82.775881548056958</v>
      </c>
      <c r="D30" s="339">
        <f>IFERROR('4. Fix Cost (LC) '!C30/'Input-FX Rates'!$H$16,0)</f>
        <v>-80.13162827586207</v>
      </c>
      <c r="E30" s="336">
        <f>IFERROR('4. Fix Cost (LC) '!D30/'Input-FX Rates'!$H$16,0)</f>
        <v>-6.954141149425288</v>
      </c>
      <c r="F30" s="336">
        <f>IFERROR('4. Fix Cost (LC) '!E30/'Input-FX Rates'!$H$16,0)</f>
        <v>-6.3489128735632177</v>
      </c>
      <c r="G30" s="336">
        <f>IFERROR('4. Fix Cost (LC) '!F30/'Input-FX Rates'!$H$16,0)</f>
        <v>-6.0076749425287366</v>
      </c>
      <c r="H30" s="336">
        <f>IFERROR('4. Fix Cost (LC) '!G30/'Input-FX Rates'!$H$16,0)</f>
        <v>-5.3524335632183915</v>
      </c>
      <c r="I30" s="336">
        <f>IFERROR('4. Fix Cost (LC) '!H30/'Input-FX Rates'!$H$16,0)</f>
        <v>-5.7628101149425293</v>
      </c>
      <c r="J30" s="336">
        <f>IFERROR('4. Fix Cost (LC) '!I30/'Input-FX Rates'!$H$16,0)</f>
        <v>-5.4828997701149431</v>
      </c>
      <c r="K30" s="336">
        <f>IFERROR('4. Fix Cost (LC) '!J30/'Input-FX Rates'!$H$16,0)</f>
        <v>-6.8750618390804599</v>
      </c>
      <c r="L30" s="336">
        <f>IFERROR('4. Fix Cost (LC) '!K30/'Input-FX Rates'!$H$16,0)</f>
        <v>-5.859571494252874</v>
      </c>
      <c r="M30" s="336">
        <f>IFERROR('4. Fix Cost (LC) '!L30/'Input-FX Rates'!$H$16,0)</f>
        <v>-5.9877756321839088</v>
      </c>
      <c r="N30" s="336">
        <f>IFERROR('4. Fix Cost (LC) '!M30/'Input-FX Rates'!$H$16,0)</f>
        <v>-5.5181652873563216</v>
      </c>
      <c r="O30" s="336">
        <f>IFERROR('4. Fix Cost (LC) '!N30/'Input-FX Rates'!$H$16,0)</f>
        <v>-5.7298949425287358</v>
      </c>
      <c r="P30" s="339">
        <f>IFERROR('4. Fix Cost (LC) '!O30/'Input-FX Rates'!$H$16,0)</f>
        <v>-5.6506935632183914</v>
      </c>
      <c r="Q30" s="345">
        <f>IFERROR('4. Fix Cost (LC) '!P30/'Input-FX Rates'!$H$16,0)</f>
        <v>-71.530035172413804</v>
      </c>
      <c r="R30" s="339">
        <f>IFERROR('4. Fix Cost (LC) '!Q30/'Input-FX Rates'!$H$16,0)</f>
        <v>0</v>
      </c>
      <c r="S30" s="336">
        <f t="shared" si="0"/>
        <v>11.245846375643154</v>
      </c>
      <c r="T30" s="335">
        <f t="shared" si="1"/>
        <v>-0.13585897444189932</v>
      </c>
      <c r="U30" s="336">
        <f t="shared" si="2"/>
        <v>8.6015931034482662</v>
      </c>
      <c r="V30" s="761">
        <f t="shared" si="3"/>
        <v>-0.1073432961306654</v>
      </c>
      <c r="W30" s="913" t="str">
        <f>IF(ISBLANK('4. Fix Cost (LC) '!T30),"",'4. Fix Cost (LC) '!T30)</f>
        <v/>
      </c>
      <c r="Y30" s="19" t="s">
        <v>474</v>
      </c>
    </row>
    <row r="31" spans="1:25" s="334" customFormat="1" ht="15.75" x14ac:dyDescent="0.2">
      <c r="A31" s="340" t="s">
        <v>475</v>
      </c>
      <c r="B31" s="345">
        <f>IFERROR('4. Fix Cost (LC) '!B31/'Input-FX Rates'!$E$16,0)</f>
        <v>-68.698167554766172</v>
      </c>
      <c r="C31" s="336">
        <f>IFERROR('4. Fix Cost (LC) '!C31/'Input-FX Rates'!$G$16,0)</f>
        <v>-144.42384074765067</v>
      </c>
      <c r="D31" s="339">
        <f>IFERROR('4. Fix Cost (LC) '!C31/'Input-FX Rates'!$H$16,0)</f>
        <v>-139.81026</v>
      </c>
      <c r="E31" s="336">
        <f>IFERROR('4. Fix Cost (LC) '!D31/'Input-FX Rates'!$H$16,0)</f>
        <v>-14.192778620689655</v>
      </c>
      <c r="F31" s="336">
        <f>IFERROR('4. Fix Cost (LC) '!E31/'Input-FX Rates'!$H$16,0)</f>
        <v>-14.192778620689655</v>
      </c>
      <c r="G31" s="336">
        <f>IFERROR('4. Fix Cost (LC) '!F31/'Input-FX Rates'!$H$16,0)</f>
        <v>-14.192778620689655</v>
      </c>
      <c r="H31" s="336">
        <f>IFERROR('4. Fix Cost (LC) '!G31/'Input-FX Rates'!$H$16,0)</f>
        <v>-14.192778620689655</v>
      </c>
      <c r="I31" s="336">
        <f>IFERROR('4. Fix Cost (LC) '!H31/'Input-FX Rates'!$H$16,0)</f>
        <v>-14.192778620689655</v>
      </c>
      <c r="J31" s="336">
        <f>IFERROR('4. Fix Cost (LC) '!I31/'Input-FX Rates'!$H$16,0)</f>
        <v>-14.192778620689655</v>
      </c>
      <c r="K31" s="336">
        <f>IFERROR('4. Fix Cost (LC) '!J31/'Input-FX Rates'!$H$16,0)</f>
        <v>-14.192778620689655</v>
      </c>
      <c r="L31" s="336">
        <f>IFERROR('4. Fix Cost (LC) '!K31/'Input-FX Rates'!$H$16,0)</f>
        <v>-14.192778620689655</v>
      </c>
      <c r="M31" s="336">
        <f>IFERROR('4. Fix Cost (LC) '!L31/'Input-FX Rates'!$H$16,0)</f>
        <v>-14.192778620689655</v>
      </c>
      <c r="N31" s="336">
        <f>IFERROR('4. Fix Cost (LC) '!M31/'Input-FX Rates'!$H$16,0)</f>
        <v>-14.192778620689655</v>
      </c>
      <c r="O31" s="336">
        <f>IFERROR('4. Fix Cost (LC) '!N31/'Input-FX Rates'!$H$16,0)</f>
        <v>-14.192778620689655</v>
      </c>
      <c r="P31" s="339">
        <f>IFERROR('4. Fix Cost (LC) '!O31/'Input-FX Rates'!$H$16,0)</f>
        <v>-14.192778620689655</v>
      </c>
      <c r="Q31" s="345">
        <f>IFERROR('4. Fix Cost (LC) '!P31/'Input-FX Rates'!$H$16,0)</f>
        <v>-170.31334344827584</v>
      </c>
      <c r="R31" s="339">
        <f>IFERROR('4. Fix Cost (LC) '!Q31/'Input-FX Rates'!$H$16,0)</f>
        <v>0</v>
      </c>
      <c r="S31" s="336">
        <f t="shared" si="0"/>
        <v>-25.889502700625172</v>
      </c>
      <c r="T31" s="335">
        <f t="shared" si="1"/>
        <v>0.17926058860227556</v>
      </c>
      <c r="U31" s="336">
        <f t="shared" si="2"/>
        <v>-30.503083448275845</v>
      </c>
      <c r="V31" s="761">
        <f t="shared" si="3"/>
        <v>0.21817485675426007</v>
      </c>
      <c r="W31" s="913" t="str">
        <f>IF(ISBLANK('4. Fix Cost (LC) '!T31),"",'4. Fix Cost (LC) '!T31)</f>
        <v/>
      </c>
      <c r="Y31" s="19" t="s">
        <v>476</v>
      </c>
    </row>
    <row r="32" spans="1:25" s="334" customFormat="1" ht="15.75" x14ac:dyDescent="0.2">
      <c r="A32" s="340" t="s">
        <v>477</v>
      </c>
      <c r="B32" s="345">
        <f>IFERROR('4. Fix Cost (LC) '!B32/'Input-FX Rates'!$E$16,0)</f>
        <v>-431.45536249712126</v>
      </c>
      <c r="C32" s="336">
        <f>IFERROR('4. Fix Cost (LC) '!C32/'Input-FX Rates'!$G$16,0)</f>
        <v>-958.59095933351307</v>
      </c>
      <c r="D32" s="339">
        <f>IFERROR('4. Fix Cost (LC) '!C32/'Input-FX Rates'!$H$16,0)</f>
        <v>-927.96902896551717</v>
      </c>
      <c r="E32" s="336">
        <f>IFERROR('4. Fix Cost (LC) '!D32/'Input-FX Rates'!$H$16,0)</f>
        <v>-104.22975793103448</v>
      </c>
      <c r="F32" s="336">
        <f>IFERROR('4. Fix Cost (LC) '!E32/'Input-FX Rates'!$H$16,0)</f>
        <v>-104.22975793103448</v>
      </c>
      <c r="G32" s="336">
        <f>IFERROR('4. Fix Cost (LC) '!F32/'Input-FX Rates'!$H$16,0)</f>
        <v>-104.22975793103448</v>
      </c>
      <c r="H32" s="336">
        <f>IFERROR('4. Fix Cost (LC) '!G32/'Input-FX Rates'!$H$16,0)</f>
        <v>-104.22975793103448</v>
      </c>
      <c r="I32" s="336">
        <f>IFERROR('4. Fix Cost (LC) '!H32/'Input-FX Rates'!$H$16,0)</f>
        <v>-104.22975793103448</v>
      </c>
      <c r="J32" s="336">
        <f>IFERROR('4. Fix Cost (LC) '!I32/'Input-FX Rates'!$H$16,0)</f>
        <v>-104.22975793103448</v>
      </c>
      <c r="K32" s="336">
        <f>IFERROR('4. Fix Cost (LC) '!J32/'Input-FX Rates'!$H$16,0)</f>
        <v>-104.22975793103448</v>
      </c>
      <c r="L32" s="336">
        <f>IFERROR('4. Fix Cost (LC) '!K32/'Input-FX Rates'!$H$16,0)</f>
        <v>-104.22975793103448</v>
      </c>
      <c r="M32" s="336">
        <f>IFERROR('4. Fix Cost (LC) '!L32/'Input-FX Rates'!$H$16,0)</f>
        <v>-104.22975793103448</v>
      </c>
      <c r="N32" s="336">
        <f>IFERROR('4. Fix Cost (LC) '!M32/'Input-FX Rates'!$H$16,0)</f>
        <v>-104.22975793103448</v>
      </c>
      <c r="O32" s="336">
        <f>IFERROR('4. Fix Cost (LC) '!N32/'Input-FX Rates'!$H$16,0)</f>
        <v>-104.22975793103448</v>
      </c>
      <c r="P32" s="339">
        <f>IFERROR('4. Fix Cost (LC) '!O32/'Input-FX Rates'!$H$16,0)</f>
        <v>-104.22975793103448</v>
      </c>
      <c r="Q32" s="345">
        <f>IFERROR('4. Fix Cost (LC) '!P32/'Input-FX Rates'!$H$16,0)</f>
        <v>-1250.7570951724138</v>
      </c>
      <c r="R32" s="339">
        <f>IFERROR('4. Fix Cost (LC) '!Q32/'Input-FX Rates'!$H$16,0)</f>
        <v>0</v>
      </c>
      <c r="S32" s="336">
        <f t="shared" si="0"/>
        <v>-292.16613583890069</v>
      </c>
      <c r="T32" s="335">
        <f t="shared" si="1"/>
        <v>0.30478707627499135</v>
      </c>
      <c r="U32" s="336">
        <f t="shared" si="2"/>
        <v>-322.78806620689659</v>
      </c>
      <c r="V32" s="761">
        <f t="shared" si="3"/>
        <v>0.34784357681283273</v>
      </c>
      <c r="W32" s="913" t="str">
        <f>IF(ISBLANK('4. Fix Cost (LC) '!T32),"",'4. Fix Cost (LC) '!T32)</f>
        <v/>
      </c>
      <c r="Y32" s="19" t="s">
        <v>478</v>
      </c>
    </row>
    <row r="33" spans="1:25" s="334" customFormat="1" ht="15.75" x14ac:dyDescent="0.2">
      <c r="A33" s="340" t="s">
        <v>479</v>
      </c>
      <c r="B33" s="345">
        <f>IFERROR('4. Fix Cost (LC) '!B33/'Input-FX Rates'!$E$16,0)</f>
        <v>-127.90494944086844</v>
      </c>
      <c r="C33" s="336">
        <f>IFERROR('4. Fix Cost (LC) '!C33/'Input-FX Rates'!$G$16,0)</f>
        <v>-260.58384925215228</v>
      </c>
      <c r="D33" s="339">
        <f>IFERROR('4. Fix Cost (LC) '!C33/'Input-FX Rates'!$H$16,0)</f>
        <v>-252.25956827586208</v>
      </c>
      <c r="E33" s="336">
        <f>IFERROR('4. Fix Cost (LC) '!D33/'Input-FX Rates'!$H$16,0)</f>
        <v>-27.166159540229884</v>
      </c>
      <c r="F33" s="336">
        <f>IFERROR('4. Fix Cost (LC) '!E33/'Input-FX Rates'!$H$16,0)</f>
        <v>-27.166159540229884</v>
      </c>
      <c r="G33" s="336">
        <f>IFERROR('4. Fix Cost (LC) '!F33/'Input-FX Rates'!$H$16,0)</f>
        <v>-27.166159540229884</v>
      </c>
      <c r="H33" s="336">
        <f>IFERROR('4. Fix Cost (LC) '!G33/'Input-FX Rates'!$H$16,0)</f>
        <v>-27.166159540229884</v>
      </c>
      <c r="I33" s="336">
        <f>IFERROR('4. Fix Cost (LC) '!H33/'Input-FX Rates'!$H$16,0)</f>
        <v>-27.166159540229884</v>
      </c>
      <c r="J33" s="336">
        <f>IFERROR('4. Fix Cost (LC) '!I33/'Input-FX Rates'!$H$16,0)</f>
        <v>-27.166159540229884</v>
      </c>
      <c r="K33" s="336">
        <f>IFERROR('4. Fix Cost (LC) '!J33/'Input-FX Rates'!$H$16,0)</f>
        <v>-27.166159540229884</v>
      </c>
      <c r="L33" s="336">
        <f>IFERROR('4. Fix Cost (LC) '!K33/'Input-FX Rates'!$H$16,0)</f>
        <v>-27.166159540229884</v>
      </c>
      <c r="M33" s="336">
        <f>IFERROR('4. Fix Cost (LC) '!L33/'Input-FX Rates'!$H$16,0)</f>
        <v>-27.166159540229884</v>
      </c>
      <c r="N33" s="336">
        <f>IFERROR('4. Fix Cost (LC) '!M33/'Input-FX Rates'!$H$16,0)</f>
        <v>-27.166159540229884</v>
      </c>
      <c r="O33" s="336">
        <f>IFERROR('4. Fix Cost (LC) '!N33/'Input-FX Rates'!$H$16,0)</f>
        <v>-27.166159540229884</v>
      </c>
      <c r="P33" s="339">
        <f>IFERROR('4. Fix Cost (LC) '!O33/'Input-FX Rates'!$H$16,0)</f>
        <v>-27.166159540229884</v>
      </c>
      <c r="Q33" s="345">
        <f>IFERROR('4. Fix Cost (LC) '!P33/'Input-FX Rates'!$H$16,0)</f>
        <v>-325.99391448275861</v>
      </c>
      <c r="R33" s="339">
        <f>IFERROR('4. Fix Cost (LC) '!Q33/'Input-FX Rates'!$H$16,0)</f>
        <v>0</v>
      </c>
      <c r="S33" s="336">
        <f t="shared" si="0"/>
        <v>-65.410065230606335</v>
      </c>
      <c r="T33" s="335">
        <f t="shared" si="1"/>
        <v>0.25101350455266602</v>
      </c>
      <c r="U33" s="336">
        <f t="shared" si="2"/>
        <v>-73.734346206896532</v>
      </c>
      <c r="V33" s="761">
        <f t="shared" si="3"/>
        <v>0.29229553792886565</v>
      </c>
      <c r="W33" s="913" t="str">
        <f>IF(ISBLANK('4. Fix Cost (LC) '!T33),"",'4. Fix Cost (LC) '!T33)</f>
        <v/>
      </c>
      <c r="Y33" s="19" t="s">
        <v>480</v>
      </c>
    </row>
    <row r="34" spans="1:25" ht="15.75" x14ac:dyDescent="0.2">
      <c r="A34" s="340" t="s">
        <v>481</v>
      </c>
      <c r="B34" s="343">
        <f>IFERROR('4. Fix Cost (LC) '!B34/'Input-FX Rates'!$E$16,0)</f>
        <v>-1357.0034489991162</v>
      </c>
      <c r="C34" s="344">
        <f>IFERROR('4. Fix Cost (LC) '!C34/'Input-FX Rates'!$G$16,0)</f>
        <v>-2824.9121505701432</v>
      </c>
      <c r="D34" s="342">
        <f>IFERROR('4. Fix Cost (LC) '!C34/'Input-FX Rates'!$H$16,0)</f>
        <v>-2734.6710917241376</v>
      </c>
      <c r="E34" s="344">
        <f>IFERROR('4. Fix Cost (LC) '!D34/'Input-FX Rates'!$H$16,0)</f>
        <v>-305.14219931034478</v>
      </c>
      <c r="F34" s="344">
        <f>IFERROR('4. Fix Cost (LC) '!E34/'Input-FX Rates'!$H$16,0)</f>
        <v>-305.49162896551724</v>
      </c>
      <c r="G34" s="344">
        <f>IFERROR('4. Fix Cost (LC) '!F34/'Input-FX Rates'!$H$16,0)</f>
        <v>-300.86820689655173</v>
      </c>
      <c r="H34" s="344">
        <f>IFERROR('4. Fix Cost (LC) '!G34/'Input-FX Rates'!$H$16,0)</f>
        <v>-293.10793310344826</v>
      </c>
      <c r="I34" s="344">
        <f>IFERROR('4. Fix Cost (LC) '!H34/'Input-FX Rates'!$H$16,0)</f>
        <v>-297.71429655172415</v>
      </c>
      <c r="J34" s="344">
        <f>IFERROR('4. Fix Cost (LC) '!I34/'Input-FX Rates'!$H$16,0)</f>
        <v>-295.60037655172414</v>
      </c>
      <c r="K34" s="344">
        <f>IFERROR('4. Fix Cost (LC) '!J34/'Input-FX Rates'!$H$16,0)</f>
        <v>-311.06197241379311</v>
      </c>
      <c r="L34" s="344">
        <f>IFERROR('4. Fix Cost (LC) '!K34/'Input-FX Rates'!$H$16,0)</f>
        <v>-304.60428413793102</v>
      </c>
      <c r="M34" s="344">
        <f>IFERROR('4. Fix Cost (LC) '!L34/'Input-FX Rates'!$H$16,0)</f>
        <v>-303.85492758620688</v>
      </c>
      <c r="N34" s="344">
        <f>IFERROR('4. Fix Cost (LC) '!M34/'Input-FX Rates'!$H$16,0)</f>
        <v>-299.65264275862069</v>
      </c>
      <c r="O34" s="344">
        <f>IFERROR('4. Fix Cost (LC) '!N34/'Input-FX Rates'!$H$16,0)</f>
        <v>-300.20661448275865</v>
      </c>
      <c r="P34" s="342">
        <f>IFERROR('4. Fix Cost (LC) '!O34/'Input-FX Rates'!$H$16,0)</f>
        <v>-299.47735517241375</v>
      </c>
      <c r="Q34" s="343">
        <f>IFERROR('4. Fix Cost (LC) '!P34/'Input-FX Rates'!$H$16,0)</f>
        <v>-3616.7824379310341</v>
      </c>
      <c r="R34" s="342">
        <f>IFERROR('4. Fix Cost (LC) '!Q34/'Input-FX Rates'!$H$16,0)</f>
        <v>-630</v>
      </c>
      <c r="S34" s="344">
        <f t="shared" si="0"/>
        <v>-791.87028736089087</v>
      </c>
      <c r="T34" s="335">
        <f t="shared" si="1"/>
        <v>0.28031678337362465</v>
      </c>
      <c r="U34" s="344">
        <f t="shared" si="2"/>
        <v>-882.11134620689654</v>
      </c>
      <c r="V34" s="761">
        <f t="shared" si="3"/>
        <v>0.32256579187033019</v>
      </c>
      <c r="W34" s="928" t="str">
        <f>IF(ISBLANK('4. Fix Cost (LC) '!T34),"",'4. Fix Cost (LC) '!T34)</f>
        <v/>
      </c>
      <c r="Y34" s="19" t="s">
        <v>482</v>
      </c>
    </row>
    <row r="35" spans="1:25" ht="15" x14ac:dyDescent="0.25">
      <c r="A35" s="350"/>
      <c r="B35" s="346"/>
      <c r="C35" s="348"/>
      <c r="D35" s="348"/>
      <c r="E35" s="751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9"/>
      <c r="Q35" s="346"/>
      <c r="R35" s="349"/>
      <c r="S35" s="348"/>
      <c r="T35" s="347"/>
      <c r="U35" s="348"/>
      <c r="V35" s="762"/>
      <c r="W35" s="346" t="str">
        <f>IF(ISBLANK('4. Fix Cost (LC) '!T35),"",'4. Fix Cost (LC) '!T35)</f>
        <v/>
      </c>
      <c r="Y35" s="266"/>
    </row>
    <row r="36" spans="1:25" s="334" customFormat="1" ht="15.75" x14ac:dyDescent="0.2">
      <c r="A36" s="340" t="s">
        <v>483</v>
      </c>
      <c r="B36" s="343">
        <f>IFERROR('4. Fix Cost (LC) '!B36/'Input-FX Rates'!$E$16,0)</f>
        <v>-379.41553501432179</v>
      </c>
      <c r="C36" s="344">
        <f>IFERROR('4. Fix Cost (LC) '!C36/'Input-FX Rates'!$G$16,0)</f>
        <v>-664.27062151068117</v>
      </c>
      <c r="D36" s="342">
        <f>IFERROR('4. Fix Cost (LC) '!C36/'Input-FX Rates'!$H$16,0)</f>
        <v>-643.05067517241378</v>
      </c>
      <c r="E36" s="344">
        <f>IFERROR('4. Fix Cost (LC) '!D36/'Input-FX Rates'!$H$16,0)</f>
        <v>-64.551859310344824</v>
      </c>
      <c r="F36" s="336">
        <f>IFERROR('4. Fix Cost (LC) '!E36/'Input-FX Rates'!$H$16,0)</f>
        <v>-65.506517241379314</v>
      </c>
      <c r="G36" s="336">
        <f>IFERROR('4. Fix Cost (LC) '!F36/'Input-FX Rates'!$H$16,0)</f>
        <v>-61.510311724137921</v>
      </c>
      <c r="H36" s="336">
        <f>IFERROR('4. Fix Cost (LC) '!G36/'Input-FX Rates'!$H$16,0)</f>
        <v>-54.119300689655162</v>
      </c>
      <c r="I36" s="336">
        <f>IFERROR('4. Fix Cost (LC) '!H36/'Input-FX Rates'!$H$16,0)</f>
        <v>-58.029308965517238</v>
      </c>
      <c r="J36" s="336">
        <f>IFERROR('4. Fix Cost (LC) '!I36/'Input-FX Rates'!$H$16,0)</f>
        <v>-57.053235862068959</v>
      </c>
      <c r="K36" s="336">
        <f>IFERROR('4. Fix Cost (LC) '!J36/'Input-FX Rates'!$H$16,0)</f>
        <v>-70.264733103448279</v>
      </c>
      <c r="L36" s="336">
        <f>IFERROR('4. Fix Cost (LC) '!K36/'Input-FX Rates'!$H$16,0)</f>
        <v>-65.109044137931022</v>
      </c>
      <c r="M36" s="336">
        <f>IFERROR('4. Fix Cost (LC) '!L36/'Input-FX Rates'!$H$16,0)</f>
        <v>-65.375938620689652</v>
      </c>
      <c r="N36" s="336">
        <f>IFERROR('4. Fix Cost (LC) '!M36/'Input-FX Rates'!$H$16,0)</f>
        <v>-60.213370344827588</v>
      </c>
      <c r="O36" s="336">
        <f>IFERROR('4. Fix Cost (LC) '!N36/'Input-FX Rates'!$H$16,0)</f>
        <v>-60.841591034482747</v>
      </c>
      <c r="P36" s="339">
        <f>IFERROR('4. Fix Cost (LC) '!O36/'Input-FX Rates'!$H$16,0)</f>
        <v>-61.621428275862066</v>
      </c>
      <c r="Q36" s="343">
        <f>IFERROR('4. Fix Cost (LC) '!P36/'Input-FX Rates'!$H$16,0)</f>
        <v>-744.19663931034495</v>
      </c>
      <c r="R36" s="342">
        <f>IFERROR('4. Fix Cost (LC) '!Q36/'Input-FX Rates'!$H$16,0)</f>
        <v>-630</v>
      </c>
      <c r="S36" s="336">
        <f>+S15</f>
        <v>-79.926017799663782</v>
      </c>
      <c r="T36" s="335">
        <f>IFERROR(Q36/C36-1,0)</f>
        <v>0.1203214702132942</v>
      </c>
      <c r="U36" s="336">
        <f>+U15</f>
        <v>-101.14596413793117</v>
      </c>
      <c r="V36" s="761">
        <f t="shared" si="3"/>
        <v>0.1572908139950433</v>
      </c>
      <c r="W36" s="912" t="str">
        <f>IF(ISBLANK('4. Fix Cost (LC) '!T36),"",'4. Fix Cost (LC) '!T36)</f>
        <v/>
      </c>
      <c r="Y36" s="19"/>
    </row>
    <row r="37" spans="1:25" ht="15.75" x14ac:dyDescent="0.2">
      <c r="A37" s="914" t="s">
        <v>484</v>
      </c>
      <c r="B37" s="915">
        <f t="shared" ref="B37" si="4">IFERROR(B36/B$7,0)</f>
        <v>-5.2333195108254731E-2</v>
      </c>
      <c r="C37" s="916">
        <f t="shared" ref="C37:S37" si="5">IFERROR(C36/C$7,0)</f>
        <v>-4.3957835286340084E-2</v>
      </c>
      <c r="D37" s="917">
        <f t="shared" si="5"/>
        <v>-4.3957835286340091E-2</v>
      </c>
      <c r="E37" s="916">
        <f t="shared" si="5"/>
        <v>-5.3804671910581643E-2</v>
      </c>
      <c r="F37" s="916">
        <f t="shared" si="5"/>
        <v>-5.4599992762189721E-2</v>
      </c>
      <c r="G37" s="916">
        <f t="shared" si="5"/>
        <v>-5.2595542317519513E-2</v>
      </c>
      <c r="H37" s="916">
        <f t="shared" si="5"/>
        <v>-4.5108693766478768E-2</v>
      </c>
      <c r="I37" s="916">
        <f t="shared" si="5"/>
        <v>-4.7176841629586359E-2</v>
      </c>
      <c r="J37" s="916">
        <f t="shared" si="5"/>
        <v>-4.9703244256669082E-2</v>
      </c>
      <c r="K37" s="916">
        <f t="shared" si="5"/>
        <v>-5.6661803025565831E-2</v>
      </c>
      <c r="L37" s="916">
        <f t="shared" si="5"/>
        <v>-5.3841173026880983E-2</v>
      </c>
      <c r="M37" s="916">
        <f t="shared" si="5"/>
        <v>-6.017898376270648E-2</v>
      </c>
      <c r="N37" s="916">
        <f t="shared" si="5"/>
        <v>-4.8558682776766178E-2</v>
      </c>
      <c r="O37" s="916">
        <f t="shared" si="5"/>
        <v>-5.031309567372666E-2</v>
      </c>
      <c r="P37" s="917">
        <f t="shared" si="5"/>
        <v>-5.8374831237756129E-2</v>
      </c>
      <c r="Q37" s="915">
        <f t="shared" si="5"/>
        <v>-5.2455268857809864E-2</v>
      </c>
      <c r="R37" s="917">
        <f t="shared" si="5"/>
        <v>0</v>
      </c>
      <c r="S37" s="916">
        <f t="shared" si="5"/>
        <v>8.6473921324061884E-2</v>
      </c>
      <c r="T37" s="918"/>
      <c r="U37" s="916">
        <f>IFERROR(U36/U$7,0)</f>
        <v>0.22907295879102979</v>
      </c>
      <c r="V37" s="919"/>
      <c r="W37" s="912" t="str">
        <f>IF(ISBLANK('4. Fix Cost (LC) '!T37),"",'4. Fix Cost (LC) '!T37)</f>
        <v/>
      </c>
      <c r="Y37" s="266"/>
    </row>
    <row r="38" spans="1:25" s="334" customFormat="1" ht="15.75" x14ac:dyDescent="0.2">
      <c r="A38" s="340" t="s">
        <v>485</v>
      </c>
      <c r="B38" s="343">
        <f>IFERROR('4. Fix Cost (LC) '!B38/'Input-FX Rates'!$E$16,0)</f>
        <v>-205.51669105443045</v>
      </c>
      <c r="C38" s="344">
        <f>IFERROR('4. Fix Cost (LC) '!C38/'Input-FX Rates'!$G$16,0)</f>
        <v>-501.38811823611042</v>
      </c>
      <c r="D38" s="342">
        <f>IFERROR('4. Fix Cost (LC) '!C38/'Input-FX Rates'!$H$16,0)</f>
        <v>-485.37140965517239</v>
      </c>
      <c r="E38" s="344">
        <f>IFERROR('4. Fix Cost (LC) '!D38/'Input-FX Rates'!$H$16,0)</f>
        <v>-77.048568275862067</v>
      </c>
      <c r="F38" s="336">
        <f>IFERROR('4. Fix Cost (LC) '!E38/'Input-FX Rates'!$H$16,0)</f>
        <v>-77.048568275862067</v>
      </c>
      <c r="G38" s="336">
        <f>IFERROR('4. Fix Cost (LC) '!F38/'Input-FX Rates'!$H$16,0)</f>
        <v>-77.048568275862067</v>
      </c>
      <c r="H38" s="336">
        <f>IFERROR('4. Fix Cost (LC) '!G38/'Input-FX Rates'!$H$16,0)</f>
        <v>-77.048568275862067</v>
      </c>
      <c r="I38" s="336">
        <f>IFERROR('4. Fix Cost (LC) '!H38/'Input-FX Rates'!$H$16,0)</f>
        <v>-77.048568275862067</v>
      </c>
      <c r="J38" s="336">
        <f>IFERROR('4. Fix Cost (LC) '!I38/'Input-FX Rates'!$H$16,0)</f>
        <v>-77.048568275862067</v>
      </c>
      <c r="K38" s="336">
        <f>IFERROR('4. Fix Cost (LC) '!J38/'Input-FX Rates'!$H$16,0)</f>
        <v>-77.048568275862067</v>
      </c>
      <c r="L38" s="336">
        <f>IFERROR('4. Fix Cost (LC) '!K38/'Input-FX Rates'!$H$16,0)</f>
        <v>-77.048568275862067</v>
      </c>
      <c r="M38" s="336">
        <f>IFERROR('4. Fix Cost (LC) '!L38/'Input-FX Rates'!$H$16,0)</f>
        <v>-77.048568275862067</v>
      </c>
      <c r="N38" s="336">
        <f>IFERROR('4. Fix Cost (LC) '!M38/'Input-FX Rates'!$H$16,0)</f>
        <v>-77.048568275862067</v>
      </c>
      <c r="O38" s="336">
        <f>IFERROR('4. Fix Cost (LC) '!N38/'Input-FX Rates'!$H$16,0)</f>
        <v>-77.048568275862067</v>
      </c>
      <c r="P38" s="339">
        <f>IFERROR('4. Fix Cost (LC) '!O38/'Input-FX Rates'!$H$16,0)</f>
        <v>-77.048568275862067</v>
      </c>
      <c r="Q38" s="343">
        <f>IFERROR('4. Fix Cost (LC) '!P38/'Input-FX Rates'!$H$16,0)</f>
        <v>-924.5828193103448</v>
      </c>
      <c r="R38" s="342">
        <f>IFERROR('4. Fix Cost (LC) '!Q38/'Input-FX Rates'!$H$16,0)</f>
        <v>0</v>
      </c>
      <c r="S38" s="336">
        <f>+S21+S22</f>
        <v>-423.19470107423439</v>
      </c>
      <c r="T38" s="335">
        <f>IFERROR(Q38/C38-1,0)</f>
        <v>0.84404613049674682</v>
      </c>
      <c r="U38" s="336">
        <f>+U21+U22</f>
        <v>-439.21140965517242</v>
      </c>
      <c r="V38" s="761">
        <f t="shared" si="3"/>
        <v>0.90489757105225066</v>
      </c>
      <c r="W38" s="912" t="str">
        <f>IF(ISBLANK('4. Fix Cost (LC) '!T38),"",'4. Fix Cost (LC) '!T38)</f>
        <v/>
      </c>
      <c r="Y38" s="19"/>
    </row>
    <row r="39" spans="1:25" ht="15.75" x14ac:dyDescent="0.25">
      <c r="A39" s="914" t="s">
        <v>484</v>
      </c>
      <c r="B39" s="915">
        <f t="shared" ref="B39" si="6">IFERROR(B38/B$7,0)</f>
        <v>-2.8347139477429242E-2</v>
      </c>
      <c r="C39" s="916">
        <f t="shared" ref="C39:U39" si="7">IFERROR(C38/C$7,0)</f>
        <v>-3.3179152595711407E-2</v>
      </c>
      <c r="D39" s="917">
        <f t="shared" si="7"/>
        <v>-3.3179152595711414E-2</v>
      </c>
      <c r="E39" s="916">
        <f t="shared" si="7"/>
        <v>-6.4220813800764595E-2</v>
      </c>
      <c r="F39" s="916">
        <f t="shared" si="7"/>
        <v>-6.4220347033527775E-2</v>
      </c>
      <c r="G39" s="916">
        <f t="shared" si="7"/>
        <v>-6.5881819156301633E-2</v>
      </c>
      <c r="H39" s="916">
        <f t="shared" si="7"/>
        <v>-6.4220347033527775E-2</v>
      </c>
      <c r="I39" s="916">
        <f t="shared" si="7"/>
        <v>-6.2639176101453975E-2</v>
      </c>
      <c r="J39" s="916">
        <f t="shared" si="7"/>
        <v>-6.7122639948067317E-2</v>
      </c>
      <c r="K39" s="916">
        <f t="shared" si="7"/>
        <v>-6.2132318820898043E-2</v>
      </c>
      <c r="L39" s="916">
        <f t="shared" si="7"/>
        <v>-6.3714424792137125E-2</v>
      </c>
      <c r="M39" s="916">
        <f t="shared" si="7"/>
        <v>-7.0923716539122814E-2</v>
      </c>
      <c r="N39" s="916">
        <f t="shared" si="7"/>
        <v>-6.2135319180534561E-2</v>
      </c>
      <c r="O39" s="916">
        <f t="shared" si="7"/>
        <v>-6.3715493320844016E-2</v>
      </c>
      <c r="P39" s="917">
        <f t="shared" si="7"/>
        <v>-7.2989174319024783E-2</v>
      </c>
      <c r="Q39" s="915">
        <f t="shared" si="7"/>
        <v>-6.5169926611306314E-2</v>
      </c>
      <c r="R39" s="917">
        <f t="shared" si="7"/>
        <v>0</v>
      </c>
      <c r="S39" s="916">
        <f t="shared" si="7"/>
        <v>0.45786473907883318</v>
      </c>
      <c r="T39" s="918"/>
      <c r="U39" s="916">
        <f t="shared" si="7"/>
        <v>0.99471548867028592</v>
      </c>
      <c r="V39" s="919"/>
      <c r="W39" s="912" t="str">
        <f>IF(ISBLANK('4. Fix Cost (LC) '!T39),"",'4. Fix Cost (LC) '!T39)</f>
        <v/>
      </c>
      <c r="X39" s="348"/>
      <c r="Y39" s="266"/>
    </row>
    <row r="40" spans="1:25" s="334" customFormat="1" ht="15.75" x14ac:dyDescent="0.2">
      <c r="A40" s="340" t="s">
        <v>459</v>
      </c>
      <c r="B40" s="343">
        <f>IFERROR('4. Fix Cost (LC) '!B40/'Input-FX Rates'!$E$16,0)</f>
        <v>-584.93222606875224</v>
      </c>
      <c r="C40" s="344">
        <f>IFERROR('4. Fix Cost (LC) '!C40/'Input-FX Rates'!$G$16,0)</f>
        <v>-1165.6587397467918</v>
      </c>
      <c r="D40" s="342">
        <f>IFERROR('4. Fix Cost (LC) '!C40/'Input-FX Rates'!$H$16,0)</f>
        <v>-1128.4220848275863</v>
      </c>
      <c r="E40" s="344">
        <f>IFERROR('4. Fix Cost (LC) '!D40/'Input-FX Rates'!$H$16,0)</f>
        <v>-141.60042758620691</v>
      </c>
      <c r="F40" s="344">
        <f>IFERROR('4. Fix Cost (LC) '!E40/'Input-FX Rates'!$H$16,0)</f>
        <v>-142.55508551724139</v>
      </c>
      <c r="G40" s="344">
        <f>IFERROR('4. Fix Cost (LC) '!F40/'Input-FX Rates'!$H$16,0)</f>
        <v>-138.55887999999999</v>
      </c>
      <c r="H40" s="344">
        <f>IFERROR('4. Fix Cost (LC) '!G40/'Input-FX Rates'!$H$16,0)</f>
        <v>-131.16786896551721</v>
      </c>
      <c r="I40" s="344">
        <f>IFERROR('4. Fix Cost (LC) '!H40/'Input-FX Rates'!$H$16,0)</f>
        <v>-135.0778772413793</v>
      </c>
      <c r="J40" s="344">
        <f>IFERROR('4. Fix Cost (LC) '!I40/'Input-FX Rates'!$H$16,0)</f>
        <v>-134.10180413793103</v>
      </c>
      <c r="K40" s="344">
        <f>IFERROR('4. Fix Cost (LC) '!J40/'Input-FX Rates'!$H$16,0)</f>
        <v>-147.31330137931036</v>
      </c>
      <c r="L40" s="344">
        <f>IFERROR('4. Fix Cost (LC) '!K40/'Input-FX Rates'!$H$16,0)</f>
        <v>-142.15761241379312</v>
      </c>
      <c r="M40" s="344">
        <f>IFERROR('4. Fix Cost (LC) '!L40/'Input-FX Rates'!$H$16,0)</f>
        <v>-142.42450689655172</v>
      </c>
      <c r="N40" s="344">
        <f>IFERROR('4. Fix Cost (LC) '!M40/'Input-FX Rates'!$H$16,0)</f>
        <v>-137.26193862068965</v>
      </c>
      <c r="O40" s="344">
        <f>IFERROR('4. Fix Cost (LC) '!N40/'Input-FX Rates'!$H$16,0)</f>
        <v>-137.89015931034481</v>
      </c>
      <c r="P40" s="342">
        <f>IFERROR('4. Fix Cost (LC) '!O40/'Input-FX Rates'!$H$16,0)</f>
        <v>-138.66999655172413</v>
      </c>
      <c r="Q40" s="343">
        <f>IFERROR('4. Fix Cost (LC) '!P40/'Input-FX Rates'!$H$16,0)</f>
        <v>-1668.7794586206896</v>
      </c>
      <c r="R40" s="342">
        <f>IFERROR('4. Fix Cost (LC) '!Q40/'Input-FX Rates'!$H$16,0)</f>
        <v>-630</v>
      </c>
      <c r="S40" s="336">
        <f>+S36+S38</f>
        <v>-503.12071887389817</v>
      </c>
      <c r="T40" s="335">
        <f>IFERROR(Q40/C40-1,0)</f>
        <v>0.43161922243485029</v>
      </c>
      <c r="U40" s="336">
        <f>+U36+U38</f>
        <v>-540.35737379310353</v>
      </c>
      <c r="V40" s="761">
        <f t="shared" si="3"/>
        <v>0.47886104061466095</v>
      </c>
      <c r="W40" s="912" t="str">
        <f>IF(ISBLANK('4. Fix Cost (LC) '!T40),"",'4. Fix Cost (LC) '!T40)</f>
        <v/>
      </c>
      <c r="Y40" s="19"/>
    </row>
    <row r="41" spans="1:25" ht="15.75" x14ac:dyDescent="0.25">
      <c r="A41" s="914" t="s">
        <v>484</v>
      </c>
      <c r="B41" s="920">
        <f t="shared" ref="B41" si="8">IFERROR(B40/B$7,0)</f>
        <v>-8.0680334585683966E-2</v>
      </c>
      <c r="C41" s="921">
        <f t="shared" ref="C41:U41" si="9">IFERROR(C40/C$7,0)</f>
        <v>-7.7136987882051505E-2</v>
      </c>
      <c r="D41" s="922">
        <f t="shared" si="9"/>
        <v>-7.7136987882051519E-2</v>
      </c>
      <c r="E41" s="923">
        <f t="shared" si="9"/>
        <v>-0.11802548571134626</v>
      </c>
      <c r="F41" s="923">
        <f t="shared" si="9"/>
        <v>-0.1188203397957175</v>
      </c>
      <c r="G41" s="923">
        <f t="shared" si="9"/>
        <v>-0.11847736147382115</v>
      </c>
      <c r="H41" s="923">
        <f t="shared" si="9"/>
        <v>-0.10932904080000652</v>
      </c>
      <c r="I41" s="923">
        <f t="shared" si="9"/>
        <v>-0.10981601773104033</v>
      </c>
      <c r="J41" s="923">
        <f t="shared" si="9"/>
        <v>-0.1168258842047364</v>
      </c>
      <c r="K41" s="923">
        <f t="shared" si="9"/>
        <v>-0.11879412184646389</v>
      </c>
      <c r="L41" s="923">
        <f t="shared" si="9"/>
        <v>-0.11755559781901813</v>
      </c>
      <c r="M41" s="923">
        <f t="shared" si="9"/>
        <v>-0.1311027003018293</v>
      </c>
      <c r="N41" s="923">
        <f t="shared" si="9"/>
        <v>-0.11069400195730074</v>
      </c>
      <c r="O41" s="923">
        <f t="shared" si="9"/>
        <v>-0.11402858899457069</v>
      </c>
      <c r="P41" s="924">
        <f t="shared" si="9"/>
        <v>-0.13136400555678091</v>
      </c>
      <c r="Q41" s="925">
        <f t="shared" si="9"/>
        <v>-0.11762519546911618</v>
      </c>
      <c r="R41" s="924">
        <f t="shared" si="9"/>
        <v>0</v>
      </c>
      <c r="S41" s="923">
        <f t="shared" si="9"/>
        <v>0.54433866040289502</v>
      </c>
      <c r="T41" s="924"/>
      <c r="U41" s="923">
        <f t="shared" si="9"/>
        <v>1.2237884474613157</v>
      </c>
      <c r="V41" s="923"/>
      <c r="W41" s="913" t="str">
        <f>IF(ISBLANK('4. Fix Cost (LC) '!T41),"",'4. Fix Cost (LC) '!T41)</f>
        <v/>
      </c>
      <c r="X41" s="341"/>
    </row>
    <row r="42" spans="1:25" s="334" customFormat="1" ht="15.75" x14ac:dyDescent="0.2">
      <c r="A42" s="340" t="s">
        <v>486</v>
      </c>
      <c r="B42" s="343">
        <f>IFERROR('4. Fix Cost (LC) '!B42/'Input-FX Rates'!$E$16,0)</f>
        <v>-255.5801088534086</v>
      </c>
      <c r="C42" s="344">
        <f>IFERROR('4. Fix Cost (LC) '!C42/'Input-FX Rates'!$G$16,0)</f>
        <v>-509.2740700883607</v>
      </c>
      <c r="D42" s="342">
        <f>IFERROR('4. Fix Cost (LC) '!C42/'Input-FX Rates'!$H$16,0)</f>
        <v>-493.00544689655169</v>
      </c>
      <c r="E42" s="344">
        <f>IFERROR('4. Fix Cost (LC) '!D42/'Input-FX Rates'!$H$16,0)</f>
        <v>-43.301160000000003</v>
      </c>
      <c r="F42" s="336">
        <f>IFERROR('4. Fix Cost (LC) '!E42/'Input-FX Rates'!$H$16,0)</f>
        <v>-42.421270344827583</v>
      </c>
      <c r="G42" s="336">
        <f>IFERROR('4. Fix Cost (LC) '!F42/'Input-FX Rates'!$H$16,0)</f>
        <v>-42.522563448275861</v>
      </c>
      <c r="H42" s="336">
        <f>IFERROR('4. Fix Cost (LC) '!G42/'Input-FX Rates'!$H$16,0)</f>
        <v>-39.317746896551725</v>
      </c>
      <c r="I42" s="336">
        <f>IFERROR('4. Fix Cost (LC) '!H42/'Input-FX Rates'!$H$16,0)</f>
        <v>-41.612868965517244</v>
      </c>
      <c r="J42" s="336">
        <f>IFERROR('4. Fix Cost (LC) '!I42/'Input-FX Rates'!$H$16,0)</f>
        <v>-42.179478620689657</v>
      </c>
      <c r="K42" s="336">
        <f>IFERROR('4. Fix Cost (LC) '!J42/'Input-FX Rates'!$H$16,0)</f>
        <v>-53.559519999999999</v>
      </c>
      <c r="L42" s="336">
        <f>IFERROR('4. Fix Cost (LC) '!K42/'Input-FX Rates'!$H$16,0)</f>
        <v>-50.7746324137931</v>
      </c>
      <c r="M42" s="336">
        <f>IFERROR('4. Fix Cost (LC) '!L42/'Input-FX Rates'!$H$16,0)</f>
        <v>-45.391024827586207</v>
      </c>
      <c r="N42" s="336">
        <f>IFERROR('4. Fix Cost (LC) '!M42/'Input-FX Rates'!$H$16,0)</f>
        <v>-45.160847586206899</v>
      </c>
      <c r="O42" s="336">
        <f>IFERROR('4. Fix Cost (LC) '!N42/'Input-FX Rates'!$H$16,0)</f>
        <v>-44.52970344827586</v>
      </c>
      <c r="P42" s="339">
        <f>IFERROR('4. Fix Cost (LC) '!O42/'Input-FX Rates'!$H$16,0)</f>
        <v>-46.545014482758624</v>
      </c>
      <c r="Q42" s="343">
        <f>IFERROR('4. Fix Cost (LC) '!P42/'Input-FX Rates'!$H$16,0)</f>
        <v>-537.31583103448281</v>
      </c>
      <c r="R42" s="342">
        <f>IFERROR('4. Fix Cost (LC) '!Q42/'Input-FX Rates'!$H$16,0)</f>
        <v>-630</v>
      </c>
      <c r="S42" s="336">
        <f>+S8+S26</f>
        <v>-28.041760946122061</v>
      </c>
      <c r="T42" s="335">
        <f>IFERROR(Q42/C42-1,0)</f>
        <v>5.5062220115107641E-2</v>
      </c>
      <c r="U42" s="336">
        <f>+U8+U26</f>
        <v>-44.310384137931074</v>
      </c>
      <c r="V42" s="761">
        <f>IFERROR(Q42/D42-1,0)</f>
        <v>8.9878082315039576E-2</v>
      </c>
      <c r="W42" s="913" t="str">
        <f>IF(ISBLANK('4. Fix Cost (LC) '!T42),"",'4. Fix Cost (LC) '!T42)</f>
        <v/>
      </c>
      <c r="Y42" s="19"/>
    </row>
    <row r="43" spans="1:25" ht="15.75" x14ac:dyDescent="0.2">
      <c r="A43" s="914" t="s">
        <v>484</v>
      </c>
      <c r="B43" s="915">
        <f t="shared" ref="B43" si="10">IFERROR(B42/B$7,0)</f>
        <v>-3.5252440841436646E-2</v>
      </c>
      <c r="C43" s="916">
        <f t="shared" ref="C43:R43" si="11">IFERROR(C42/C$7,0)</f>
        <v>-3.3701002217494891E-2</v>
      </c>
      <c r="D43" s="917">
        <f t="shared" si="11"/>
        <v>-3.3701002217494891E-2</v>
      </c>
      <c r="E43" s="916">
        <f t="shared" si="11"/>
        <v>-3.6091984522810427E-2</v>
      </c>
      <c r="F43" s="916">
        <f t="shared" si="11"/>
        <v>-3.535833000029158E-2</v>
      </c>
      <c r="G43" s="916">
        <f t="shared" si="11"/>
        <v>-3.6359713072557129E-2</v>
      </c>
      <c r="H43" s="916">
        <f t="shared" si="11"/>
        <v>-3.2771528488790856E-2</v>
      </c>
      <c r="I43" s="916">
        <f t="shared" si="11"/>
        <v>-3.3830555006359064E-2</v>
      </c>
      <c r="J43" s="916">
        <f t="shared" si="11"/>
        <v>-3.6745627076638601E-2</v>
      </c>
      <c r="K43" s="916">
        <f t="shared" si="11"/>
        <v>-4.319064256482489E-2</v>
      </c>
      <c r="L43" s="916">
        <f t="shared" si="11"/>
        <v>-4.1987496596877318E-2</v>
      </c>
      <c r="M43" s="916">
        <f t="shared" si="11"/>
        <v>-4.1782738476927143E-2</v>
      </c>
      <c r="N43" s="916">
        <f t="shared" si="11"/>
        <v>-3.6419673227225106E-2</v>
      </c>
      <c r="O43" s="916">
        <f t="shared" si="11"/>
        <v>-3.6823942172156357E-2</v>
      </c>
      <c r="P43" s="917">
        <f t="shared" si="11"/>
        <v>-4.4092735942867736E-2</v>
      </c>
      <c r="Q43" s="926">
        <f t="shared" si="11"/>
        <v>-3.7873116982348534E-2</v>
      </c>
      <c r="R43" s="917">
        <f t="shared" si="11"/>
        <v>0</v>
      </c>
      <c r="S43" s="916">
        <f>IFERROR(S42/S$7,0)</f>
        <v>3.0339069762253448E-2</v>
      </c>
      <c r="T43" s="918"/>
      <c r="U43" s="916">
        <f>IFERROR(U42/U$7,0)</f>
        <v>0.10035309748791524</v>
      </c>
      <c r="V43" s="919"/>
      <c r="W43" s="912" t="str">
        <f>IF(ISBLANK('4. Fix Cost (LC) '!T43),"",'4. Fix Cost (LC) '!T43)</f>
        <v/>
      </c>
      <c r="Y43" s="266"/>
    </row>
    <row r="44" spans="1:25" x14ac:dyDescent="0.2"/>
    <row r="45" spans="1:25" x14ac:dyDescent="0.2"/>
    <row r="46" spans="1:25" x14ac:dyDescent="0.2">
      <c r="A46" s="220" t="s">
        <v>487</v>
      </c>
      <c r="B46" s="96">
        <f t="shared" ref="B46:R46" si="12">+B40-B23</f>
        <v>0</v>
      </c>
      <c r="C46" s="96">
        <f t="shared" si="12"/>
        <v>0</v>
      </c>
      <c r="D46" s="96">
        <f t="shared" si="12"/>
        <v>0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K38" sqref="K38"/>
    </sheetView>
  </sheetViews>
  <sheetFormatPr defaultColWidth="9.28515625" defaultRowHeight="12.75" customHeight="1" outlineLevelCol="1" x14ac:dyDescent="0.2"/>
  <cols>
    <col min="1" max="1" width="52.28515625" style="220" customWidth="1"/>
    <col min="2" max="5" width="14" style="220" customWidth="1"/>
    <col min="6" max="10" width="14" style="220" customWidth="1" outlineLevel="1"/>
    <col min="11" max="13" width="14" style="220" customWidth="1"/>
    <col min="14" max="14" width="54.7109375" style="220" customWidth="1"/>
    <col min="15" max="15" width="9.28515625" style="220"/>
    <col min="16" max="16" width="148.5703125" style="220" bestFit="1" customWidth="1"/>
    <col min="17" max="20" width="9.28515625" style="220"/>
    <col min="21" max="21" width="9.28515625" style="220" customWidth="1"/>
    <col min="22" max="16384" width="9.28515625" style="220"/>
  </cols>
  <sheetData>
    <row r="1" spans="1:16" ht="19.899999999999999" customHeight="1" x14ac:dyDescent="0.25">
      <c r="A1" s="60" t="str">
        <f>+'0. Instructions'!A1</f>
        <v>Budget 2024</v>
      </c>
      <c r="B1" s="60"/>
      <c r="C1" s="60"/>
      <c r="D1" s="704"/>
      <c r="E1" s="389"/>
      <c r="F1" s="389"/>
      <c r="G1" s="389"/>
      <c r="H1" s="389"/>
      <c r="I1" s="389"/>
      <c r="J1" s="389"/>
      <c r="K1" s="218"/>
      <c r="L1" s="218"/>
      <c r="M1" s="72"/>
      <c r="N1" s="57" t="str">
        <f>'Input-FX Rates'!$H$1</f>
        <v>Plant ICH Icheon (242)</v>
      </c>
      <c r="P1" s="389" t="s">
        <v>154</v>
      </c>
    </row>
    <row r="2" spans="1:16" ht="19.899999999999999" customHeight="1" thickBot="1" x14ac:dyDescent="0.3">
      <c r="A2" s="55" t="s">
        <v>494</v>
      </c>
      <c r="B2" s="55"/>
      <c r="C2" s="217"/>
      <c r="D2" s="217"/>
      <c r="E2" s="217"/>
      <c r="F2" s="217"/>
      <c r="G2" s="54"/>
      <c r="H2" s="55"/>
      <c r="I2" s="217"/>
      <c r="J2" s="217"/>
      <c r="K2" s="217"/>
      <c r="L2" s="217"/>
      <c r="M2" s="55"/>
      <c r="N2" s="54" t="str">
        <f>'Input-FX Rates'!$H$2</f>
        <v>7521 &amp; 7522 PL Mechatronic Sensors (&amp; Electrification)</v>
      </c>
      <c r="P2" s="95" t="s">
        <v>156</v>
      </c>
    </row>
    <row r="3" spans="1:16" ht="12.75" customHeight="1" x14ac:dyDescent="0.2">
      <c r="M3" s="374"/>
    </row>
    <row r="4" spans="1:16" ht="26.65" customHeight="1" x14ac:dyDescent="0.2">
      <c r="A4" s="187" t="str">
        <f>"Logistic Cost"&amp;" in '000 "&amp;'Input-FX Rates'!$B$8</f>
        <v>Logistic Cost in '000 KRW</v>
      </c>
      <c r="B4" s="1029">
        <v>2023</v>
      </c>
      <c r="C4" s="1027"/>
      <c r="D4" s="1027"/>
      <c r="E4" s="1030"/>
      <c r="F4" s="1029" t="s">
        <v>241</v>
      </c>
      <c r="G4" s="1027"/>
      <c r="H4" s="1027"/>
      <c r="I4" s="1027"/>
      <c r="J4" s="1030"/>
      <c r="K4" s="1029">
        <v>2024</v>
      </c>
      <c r="L4" s="1027"/>
      <c r="M4" s="1028"/>
      <c r="N4" s="303" t="s">
        <v>208</v>
      </c>
    </row>
    <row r="5" spans="1:16" ht="53.65" customHeight="1" x14ac:dyDescent="0.2">
      <c r="A5" s="187"/>
      <c r="B5" s="645" t="s">
        <v>192</v>
      </c>
      <c r="C5" s="186" t="s">
        <v>19</v>
      </c>
      <c r="D5" s="186" t="s">
        <v>495</v>
      </c>
      <c r="E5" s="187" t="s">
        <v>496</v>
      </c>
      <c r="F5" s="645" t="s">
        <v>245</v>
      </c>
      <c r="G5" s="186" t="s">
        <v>246</v>
      </c>
      <c r="H5" s="186" t="s">
        <v>247</v>
      </c>
      <c r="I5" s="186" t="s">
        <v>248</v>
      </c>
      <c r="J5" s="187" t="s">
        <v>250</v>
      </c>
      <c r="K5" s="645" t="s">
        <v>251</v>
      </c>
      <c r="L5" s="186" t="s">
        <v>15</v>
      </c>
      <c r="M5" s="186" t="s">
        <v>252</v>
      </c>
      <c r="N5" s="303"/>
    </row>
    <row r="6" spans="1:16" ht="22.15" customHeight="1" x14ac:dyDescent="0.25">
      <c r="A6" s="79" t="s">
        <v>195</v>
      </c>
      <c r="B6" s="674">
        <f>'P&amp;L'!F8</f>
        <v>10156179.187999999</v>
      </c>
      <c r="C6" s="386">
        <f>'P&amp;L'!H8</f>
        <v>21211769.708999999</v>
      </c>
      <c r="D6" s="386">
        <f>'2. Variable (LC)'!D6</f>
        <v>0</v>
      </c>
      <c r="E6" s="383">
        <f>C6-D6</f>
        <v>21211769.708999999</v>
      </c>
      <c r="F6" s="385">
        <f>'2. Variable (LC)'!F6</f>
        <v>-1031559</v>
      </c>
      <c r="G6" s="384">
        <f>'2. Variable (LC)'!G6</f>
        <v>0</v>
      </c>
      <c r="H6" s="384">
        <f>'2. Variable (LC)'!H6</f>
        <v>-867809.1439127801</v>
      </c>
      <c r="I6" s="384">
        <f>'2. Variable (LC)'!I6</f>
        <v>0</v>
      </c>
      <c r="J6" s="383">
        <f>'2. Variable (LC)'!K6</f>
        <v>1259128.2449127808</v>
      </c>
      <c r="K6" s="382">
        <f>+'2. Variable (LC)'!L6</f>
        <v>0</v>
      </c>
      <c r="L6" s="381">
        <f>+'2. Variable (LC)'!M6</f>
        <v>20571529.809999999</v>
      </c>
      <c r="M6" s="380">
        <f>IFERROR(L6/C6-1,0)</f>
        <v>-3.0183238257972977E-2</v>
      </c>
      <c r="N6" s="379"/>
      <c r="P6" s="219"/>
    </row>
    <row r="7" spans="1:16" ht="22.15" customHeight="1" x14ac:dyDescent="0.25">
      <c r="A7" s="79" t="s">
        <v>497</v>
      </c>
      <c r="B7" s="674">
        <f>'2. Variable (LC)'!B7</f>
        <v>9838784.3599999994</v>
      </c>
      <c r="C7" s="386">
        <f>'2. Variable (LC)'!C7</f>
        <v>19161064.041389994</v>
      </c>
      <c r="D7" s="386">
        <f>'2. Variable (LC)'!D7</f>
        <v>0</v>
      </c>
      <c r="E7" s="383">
        <f>C7-D7</f>
        <v>19161064.041389994</v>
      </c>
      <c r="F7" s="385">
        <f>'2. Variable (LC)'!F7</f>
        <v>0</v>
      </c>
      <c r="G7" s="384">
        <f>'2. Variable (LC)'!G7</f>
        <v>0</v>
      </c>
      <c r="H7" s="384">
        <f>'2. Variable (LC)'!H7</f>
        <v>0</v>
      </c>
      <c r="I7" s="384">
        <f>'2. Variable (LC)'!I7</f>
        <v>0</v>
      </c>
      <c r="J7" s="383">
        <f>'2. Variable (LC)'!K7</f>
        <v>0</v>
      </c>
      <c r="K7" s="382">
        <f>+'2. Variable (LC)'!L7</f>
        <v>0</v>
      </c>
      <c r="L7" s="381">
        <f>'2. Variable (LC)'!M7</f>
        <v>18709188.107499998</v>
      </c>
      <c r="M7" s="380">
        <f>IFERROR(L7/C7-1,0)</f>
        <v>-2.3583029257346788E-2</v>
      </c>
      <c r="N7" s="379"/>
      <c r="P7" s="219"/>
    </row>
    <row r="8" spans="1:16" ht="15" customHeight="1" x14ac:dyDescent="0.25">
      <c r="A8" s="79" t="s">
        <v>498</v>
      </c>
      <c r="B8" s="674">
        <f>B10+B18</f>
        <v>-482075.38</v>
      </c>
      <c r="C8" s="386">
        <f>C10+C18</f>
        <v>-881320.88782048388</v>
      </c>
      <c r="D8" s="386">
        <f>D10+D18</f>
        <v>-214468.57801014991</v>
      </c>
      <c r="E8" s="383">
        <f>C8-D8</f>
        <v>-666852.309810334</v>
      </c>
      <c r="F8" s="385">
        <f>IF($C$6=0,0,ROUND($F$6/$E$6*E8,0))</f>
        <v>32430</v>
      </c>
      <c r="G8" s="384">
        <f>+G10+G18</f>
        <v>0</v>
      </c>
      <c r="H8" s="384">
        <f>+H10+H18</f>
        <v>-7522.0445060241182</v>
      </c>
      <c r="I8" s="384">
        <f>+I10+I18</f>
        <v>0</v>
      </c>
      <c r="J8" s="383"/>
      <c r="K8" s="382">
        <v>0</v>
      </c>
      <c r="L8" s="381">
        <f>L10+L18</f>
        <v>-524089.4362189204</v>
      </c>
      <c r="M8" s="380">
        <f>IFERROR(L8/C8-1,0)</f>
        <v>-0.40533641780010543</v>
      </c>
      <c r="N8" s="379"/>
      <c r="P8" s="219"/>
    </row>
    <row r="9" spans="1:16" s="1002" customFormat="1" ht="18" customHeight="1" x14ac:dyDescent="0.2">
      <c r="A9" s="994" t="s">
        <v>499</v>
      </c>
      <c r="B9" s="995">
        <f>IFERROR(B8/$B$6,0)</f>
        <v>-4.746621451594657E-2</v>
      </c>
      <c r="C9" s="996">
        <f>IFERROR(C8/$C$6,0)</f>
        <v>-4.1548673208843381E-2</v>
      </c>
      <c r="D9" s="996"/>
      <c r="E9" s="997">
        <f>IFERROR(E8/$E$6,0)</f>
        <v>-3.1437844128931566E-2</v>
      </c>
      <c r="F9" s="995">
        <f>IFERROR(F8/$E$6,0)</f>
        <v>1.5288681918058061E-3</v>
      </c>
      <c r="G9" s="996"/>
      <c r="H9" s="996"/>
      <c r="I9" s="996"/>
      <c r="J9" s="997"/>
      <c r="K9" s="998">
        <f>IFERROR(K8/$K$6,0)</f>
        <v>0</v>
      </c>
      <c r="L9" s="999">
        <f>IFERROR(L8/$L$6,0)</f>
        <v>-2.5476444438476131E-2</v>
      </c>
      <c r="M9" s="1000"/>
      <c r="N9" s="1001"/>
    </row>
    <row r="10" spans="1:16" ht="14.65" customHeight="1" x14ac:dyDescent="0.2">
      <c r="A10" s="79" t="s">
        <v>500</v>
      </c>
      <c r="B10" s="674">
        <f>SUM(B11:B17)</f>
        <v>-277405.45600000001</v>
      </c>
      <c r="C10" s="386">
        <f>SUM(C11:C17)</f>
        <v>-464690.99752210564</v>
      </c>
      <c r="D10" s="386">
        <f>SUM(D11:D17)</f>
        <v>-185300</v>
      </c>
      <c r="E10" s="383">
        <f t="shared" ref="E10:E23" si="0">C10-D10</f>
        <v>-279390.99752210564</v>
      </c>
      <c r="F10" s="385">
        <f t="shared" ref="F10:L10" si="1">SUM(F11:F17)</f>
        <v>13588</v>
      </c>
      <c r="G10" s="384">
        <f t="shared" si="1"/>
        <v>0</v>
      </c>
      <c r="H10" s="384">
        <f t="shared" si="1"/>
        <v>-4098.1091204819386</v>
      </c>
      <c r="I10" s="384">
        <f t="shared" si="1"/>
        <v>0</v>
      </c>
      <c r="J10" s="383">
        <f t="shared" si="1"/>
        <v>14621.908288658946</v>
      </c>
      <c r="K10" s="381">
        <f t="shared" si="1"/>
        <v>0</v>
      </c>
      <c r="L10" s="381">
        <f t="shared" si="1"/>
        <v>-255279.19835392863</v>
      </c>
      <c r="M10" s="380">
        <f t="shared" ref="M10:M23" si="2">IFERROR(L10/C10-1,0)</f>
        <v>-0.45064742008094349</v>
      </c>
      <c r="N10" s="379"/>
    </row>
    <row r="11" spans="1:16" ht="14.65" customHeight="1" x14ac:dyDescent="0.25">
      <c r="A11" s="378" t="s">
        <v>501</v>
      </c>
      <c r="B11" s="154">
        <v>-49230.584999999999</v>
      </c>
      <c r="C11" s="154">
        <v>-108281.216011546</v>
      </c>
      <c r="D11" s="140">
        <v>0</v>
      </c>
      <c r="E11" s="147">
        <f t="shared" si="0"/>
        <v>-108281.216011546</v>
      </c>
      <c r="F11" s="151">
        <f t="shared" ref="F11:F17" si="3">IF($C$6=0,0,ROUND($F$6/$E$6*E11,0))</f>
        <v>5266</v>
      </c>
      <c r="G11" s="140"/>
      <c r="H11" s="149">
        <f>((L11/(1+'6. HC (LC)'!Q36))-L11)*-1</f>
        <v>-4098.1091204819386</v>
      </c>
      <c r="I11" s="140"/>
      <c r="J11" s="147">
        <f t="shared" ref="J11:J17" si="4">+L11-SUM(E11:I11)</f>
        <v>-6267.6938679720624</v>
      </c>
      <c r="K11" s="141"/>
      <c r="L11" s="164">
        <v>-113381.019</v>
      </c>
      <c r="M11" s="387">
        <f t="shared" si="2"/>
        <v>4.709776244025754E-2</v>
      </c>
      <c r="N11" s="373"/>
      <c r="P11" s="219" t="s">
        <v>502</v>
      </c>
    </row>
    <row r="12" spans="1:16" ht="14.65" customHeight="1" x14ac:dyDescent="0.25">
      <c r="A12" s="378" t="s">
        <v>503</v>
      </c>
      <c r="B12" s="154">
        <v>-69903.202000000005</v>
      </c>
      <c r="C12" s="154">
        <v>-133411.68866460907</v>
      </c>
      <c r="D12" s="140">
        <v>0</v>
      </c>
      <c r="E12" s="147">
        <f t="shared" si="0"/>
        <v>-133411.68866460907</v>
      </c>
      <c r="F12" s="151">
        <f t="shared" si="3"/>
        <v>6488</v>
      </c>
      <c r="G12" s="140"/>
      <c r="H12" s="140"/>
      <c r="I12" s="140"/>
      <c r="J12" s="147">
        <f t="shared" si="4"/>
        <v>25323.838725776499</v>
      </c>
      <c r="K12" s="141"/>
      <c r="L12" s="164">
        <v>-101599.84993883257</v>
      </c>
      <c r="M12" s="387">
        <f t="shared" si="2"/>
        <v>-0.2384486625137473</v>
      </c>
      <c r="N12" s="373"/>
      <c r="P12" s="219" t="s">
        <v>504</v>
      </c>
    </row>
    <row r="13" spans="1:16" ht="14.65" customHeight="1" x14ac:dyDescent="0.25">
      <c r="A13" s="378" t="s">
        <v>505</v>
      </c>
      <c r="B13" s="154">
        <v>-137510.33199999999</v>
      </c>
      <c r="C13" s="154">
        <v>-185300</v>
      </c>
      <c r="D13" s="140">
        <v>-185300</v>
      </c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4"/>
      <c r="M13" s="387">
        <f t="shared" si="2"/>
        <v>-1</v>
      </c>
      <c r="N13" s="373"/>
      <c r="P13" s="219" t="s">
        <v>506</v>
      </c>
    </row>
    <row r="14" spans="1:16" ht="14.65" customHeight="1" x14ac:dyDescent="0.25">
      <c r="A14" s="378" t="s">
        <v>507</v>
      </c>
      <c r="B14" s="154">
        <v>0</v>
      </c>
      <c r="C14" s="154">
        <v>0</v>
      </c>
      <c r="D14" s="140">
        <v>0</v>
      </c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4"/>
      <c r="M14" s="387">
        <f t="shared" si="2"/>
        <v>0</v>
      </c>
      <c r="N14" s="373"/>
      <c r="P14" s="219" t="s">
        <v>508</v>
      </c>
    </row>
    <row r="15" spans="1:16" ht="14.65" customHeight="1" x14ac:dyDescent="0.25">
      <c r="A15" s="378" t="s">
        <v>509</v>
      </c>
      <c r="B15" s="154">
        <v>-20682.54</v>
      </c>
      <c r="C15" s="154">
        <v>-37517.793731108868</v>
      </c>
      <c r="D15" s="140">
        <v>0</v>
      </c>
      <c r="E15" s="147">
        <f t="shared" ref="E15" si="5">C15-D15</f>
        <v>-37517.793731108868</v>
      </c>
      <c r="F15" s="151">
        <f t="shared" ref="F15" si="6">IF($C$6=0,0,ROUND($F$6/$E$6*E15,0))</f>
        <v>1825</v>
      </c>
      <c r="G15" s="140"/>
      <c r="H15" s="140"/>
      <c r="I15" s="140"/>
      <c r="J15" s="147">
        <f t="shared" ref="J15" si="7">+L15-SUM(E15:I15)</f>
        <v>-4605.5356839871893</v>
      </c>
      <c r="K15" s="141"/>
      <c r="L15" s="164">
        <v>-40298.329415096057</v>
      </c>
      <c r="M15" s="387">
        <f t="shared" ref="M15" si="8">IFERROR(L15/C15-1,0)</f>
        <v>7.4112451918558087E-2</v>
      </c>
      <c r="N15" s="373"/>
      <c r="P15" s="219" t="s">
        <v>510</v>
      </c>
    </row>
    <row r="16" spans="1:16" ht="14.65" customHeight="1" x14ac:dyDescent="0.25">
      <c r="A16" s="378" t="s">
        <v>511</v>
      </c>
      <c r="B16" s="154">
        <v>0</v>
      </c>
      <c r="C16" s="154">
        <v>0</v>
      </c>
      <c r="D16" s="140">
        <v>0</v>
      </c>
      <c r="E16" s="147">
        <f t="shared" si="0"/>
        <v>0</v>
      </c>
      <c r="F16" s="151">
        <f t="shared" si="3"/>
        <v>0</v>
      </c>
      <c r="G16" s="140"/>
      <c r="H16" s="140"/>
      <c r="I16" s="140"/>
      <c r="J16" s="147">
        <f t="shared" si="4"/>
        <v>0</v>
      </c>
      <c r="K16" s="141"/>
      <c r="L16" s="164"/>
      <c r="M16" s="387">
        <f t="shared" si="2"/>
        <v>0</v>
      </c>
      <c r="N16" s="373"/>
      <c r="P16" s="219" t="s">
        <v>512</v>
      </c>
    </row>
    <row r="17" spans="1:16" ht="14.65" customHeight="1" x14ac:dyDescent="0.25">
      <c r="A17" s="378" t="s">
        <v>513</v>
      </c>
      <c r="B17" s="154">
        <v>-78.796999999999997</v>
      </c>
      <c r="C17" s="154">
        <v>-180.29911484169881</v>
      </c>
      <c r="D17" s="140">
        <v>0</v>
      </c>
      <c r="E17" s="147">
        <f t="shared" si="0"/>
        <v>-180.29911484169881</v>
      </c>
      <c r="F17" s="151">
        <f t="shared" si="3"/>
        <v>9</v>
      </c>
      <c r="G17" s="140"/>
      <c r="H17" s="140"/>
      <c r="I17" s="140"/>
      <c r="J17" s="147">
        <f t="shared" si="4"/>
        <v>171.29911484169881</v>
      </c>
      <c r="K17" s="141"/>
      <c r="L17" s="164"/>
      <c r="M17" s="387">
        <f t="shared" si="2"/>
        <v>-1</v>
      </c>
      <c r="N17" s="373"/>
      <c r="P17" s="219" t="s">
        <v>514</v>
      </c>
    </row>
    <row r="18" spans="1:16" ht="14.65" customHeight="1" x14ac:dyDescent="0.25">
      <c r="A18" s="79" t="s">
        <v>515</v>
      </c>
      <c r="B18" s="674">
        <f>SUM(B19:B23)</f>
        <v>-204669.924</v>
      </c>
      <c r="C18" s="386">
        <f>SUM(C19:C23)</f>
        <v>-416629.8902983783</v>
      </c>
      <c r="D18" s="386">
        <f>SUM(D19:D23)</f>
        <v>-29168.578010149908</v>
      </c>
      <c r="E18" s="383">
        <f t="shared" si="0"/>
        <v>-387461.31228822842</v>
      </c>
      <c r="F18" s="385">
        <f t="shared" ref="F18:L18" si="9">SUM(F19:F23)</f>
        <v>18844</v>
      </c>
      <c r="G18" s="384">
        <f t="shared" si="9"/>
        <v>0</v>
      </c>
      <c r="H18" s="384">
        <f t="shared" si="9"/>
        <v>-3423.9353855421796</v>
      </c>
      <c r="I18" s="384">
        <f t="shared" si="9"/>
        <v>0</v>
      </c>
      <c r="J18" s="383">
        <f t="shared" si="9"/>
        <v>103231.00980877878</v>
      </c>
      <c r="K18" s="381">
        <f t="shared" si="9"/>
        <v>0</v>
      </c>
      <c r="L18" s="381">
        <f t="shared" si="9"/>
        <v>-268810.23786499177</v>
      </c>
      <c r="M18" s="380">
        <f t="shared" si="2"/>
        <v>-0.35479848151922655</v>
      </c>
      <c r="N18" s="379"/>
      <c r="P18" s="219"/>
    </row>
    <row r="19" spans="1:16" ht="14.65" customHeight="1" x14ac:dyDescent="0.25">
      <c r="A19" s="378" t="s">
        <v>516</v>
      </c>
      <c r="B19" s="154">
        <v>-47034.749000000003</v>
      </c>
      <c r="C19" s="154">
        <v>-92976.442402585191</v>
      </c>
      <c r="D19" s="140"/>
      <c r="E19" s="147">
        <f t="shared" si="0"/>
        <v>-92976.442402585191</v>
      </c>
      <c r="F19" s="151">
        <f>IF($C$6=0,0,ROUND($F$6/$E$6*E19,0))</f>
        <v>4522</v>
      </c>
      <c r="G19" s="140"/>
      <c r="H19" s="149">
        <f>((L19/(1+'6. HC (LC)'!Q36))-L19)*-1</f>
        <v>-3423.9353855421796</v>
      </c>
      <c r="I19" s="140"/>
      <c r="J19" s="147">
        <f t="shared" ref="J19:J23" si="10">+L19-SUM(E19:I19)</f>
        <v>-2850.5012118726299</v>
      </c>
      <c r="K19" s="141"/>
      <c r="L19" s="164">
        <v>-94728.879000000001</v>
      </c>
      <c r="M19" s="387">
        <f t="shared" si="2"/>
        <v>1.8848178658275705E-2</v>
      </c>
      <c r="N19" s="373"/>
      <c r="P19" s="219" t="s">
        <v>517</v>
      </c>
    </row>
    <row r="20" spans="1:16" ht="14.65" customHeight="1" x14ac:dyDescent="0.25">
      <c r="A20" s="378" t="s">
        <v>518</v>
      </c>
      <c r="B20" s="154">
        <v>-58327.353000000003</v>
      </c>
      <c r="C20" s="154">
        <v>-126664.07102330393</v>
      </c>
      <c r="D20" s="140">
        <v>0</v>
      </c>
      <c r="E20" s="147">
        <f t="shared" si="0"/>
        <v>-126664.07102330393</v>
      </c>
      <c r="F20" s="151">
        <f>IF($C$6=0,0,ROUND($F$6/$E$6*E20,0))</f>
        <v>6160</v>
      </c>
      <c r="G20" s="140"/>
      <c r="H20" s="140"/>
      <c r="I20" s="140"/>
      <c r="J20" s="147">
        <f t="shared" si="10"/>
        <v>36475.761372519002</v>
      </c>
      <c r="K20" s="141"/>
      <c r="L20" s="164">
        <v>-84028.309650784926</v>
      </c>
      <c r="M20" s="387">
        <f t="shared" si="2"/>
        <v>-0.33660501378228069</v>
      </c>
      <c r="N20" s="373"/>
      <c r="P20" s="219" t="s">
        <v>519</v>
      </c>
    </row>
    <row r="21" spans="1:16" ht="14.25" customHeight="1" x14ac:dyDescent="0.25">
      <c r="A21" s="378" t="s">
        <v>520</v>
      </c>
      <c r="B21" s="154">
        <v>-14000</v>
      </c>
      <c r="C21" s="154">
        <v>-29168.578010149908</v>
      </c>
      <c r="D21" s="140">
        <v>-29168.578010149908</v>
      </c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0"/>
        <v>0</v>
      </c>
      <c r="K21" s="141"/>
      <c r="L21" s="164"/>
      <c r="M21" s="387">
        <f t="shared" si="2"/>
        <v>-1</v>
      </c>
      <c r="N21" s="373"/>
      <c r="P21" s="219" t="s">
        <v>521</v>
      </c>
    </row>
    <row r="22" spans="1:16" ht="14.65" customHeight="1" x14ac:dyDescent="0.25">
      <c r="A22" s="378" t="s">
        <v>522</v>
      </c>
      <c r="B22" s="154">
        <v>-18317.260999999999</v>
      </c>
      <c r="C22" s="154">
        <v>-37356.466834876948</v>
      </c>
      <c r="D22" s="140">
        <v>0</v>
      </c>
      <c r="E22" s="147">
        <f t="shared" si="0"/>
        <v>-37356.466834876948</v>
      </c>
      <c r="F22" s="151">
        <f>IF($C$6=0,0,ROUND($F$6/$E$6*E22,0))</f>
        <v>1817</v>
      </c>
      <c r="G22" s="140"/>
      <c r="H22" s="140"/>
      <c r="I22" s="140"/>
      <c r="J22" s="147">
        <f t="shared" si="10"/>
        <v>-2534.4581651230546</v>
      </c>
      <c r="K22" s="141"/>
      <c r="L22" s="164">
        <v>-38073.925000000003</v>
      </c>
      <c r="M22" s="387">
        <f t="shared" si="2"/>
        <v>1.9205728643834741E-2</v>
      </c>
      <c r="N22" s="373"/>
      <c r="P22" s="219" t="s">
        <v>523</v>
      </c>
    </row>
    <row r="23" spans="1:16" ht="14.65" customHeight="1" x14ac:dyDescent="0.25">
      <c r="A23" s="378" t="s">
        <v>524</v>
      </c>
      <c r="B23" s="705">
        <v>-66990.561000000002</v>
      </c>
      <c r="C23" s="705">
        <v>-130464.3320274623</v>
      </c>
      <c r="D23" s="140">
        <v>0</v>
      </c>
      <c r="E23" s="147">
        <f t="shared" si="0"/>
        <v>-130464.3320274623</v>
      </c>
      <c r="F23" s="151">
        <f>IF($C$6=0,0,ROUND($F$6/$E$6*E23,0))</f>
        <v>6345</v>
      </c>
      <c r="G23" s="140"/>
      <c r="H23" s="140"/>
      <c r="I23" s="140"/>
      <c r="J23" s="147">
        <f t="shared" si="10"/>
        <v>72140.20781325546</v>
      </c>
      <c r="K23" s="141"/>
      <c r="L23" s="164">
        <v>-51979.124214206844</v>
      </c>
      <c r="M23" s="387">
        <f t="shared" si="2"/>
        <v>-0.60158364047527246</v>
      </c>
      <c r="N23" s="373"/>
      <c r="P23" s="219" t="s">
        <v>525</v>
      </c>
    </row>
    <row r="24" spans="1:16" ht="19.899999999999999" customHeight="1" x14ac:dyDescent="0.25">
      <c r="A24" s="79" t="s">
        <v>526</v>
      </c>
      <c r="B24" s="674">
        <f>B25+B26</f>
        <v>2</v>
      </c>
      <c r="C24" s="386">
        <f>C25+C26</f>
        <v>2</v>
      </c>
      <c r="D24" s="386"/>
      <c r="E24" s="383">
        <f>C24-D24</f>
        <v>2</v>
      </c>
      <c r="F24" s="385"/>
      <c r="G24" s="384"/>
      <c r="H24" s="384"/>
      <c r="I24" s="384"/>
      <c r="J24" s="383"/>
      <c r="K24" s="382"/>
      <c r="L24" s="381">
        <f>L25+L26</f>
        <v>2</v>
      </c>
      <c r="M24" s="380">
        <f>IFERROR(L24/C24-1,0)</f>
        <v>0</v>
      </c>
      <c r="N24" s="379"/>
      <c r="P24" s="219" t="s">
        <v>527</v>
      </c>
    </row>
    <row r="25" spans="1:16" ht="14.65" customHeight="1" x14ac:dyDescent="0.2">
      <c r="A25" s="378" t="s">
        <v>528</v>
      </c>
      <c r="B25" s="706">
        <v>2</v>
      </c>
      <c r="C25" s="706">
        <v>2</v>
      </c>
      <c r="D25" s="707"/>
      <c r="E25" s="147">
        <f>C25-D25</f>
        <v>2</v>
      </c>
      <c r="F25" s="377"/>
      <c r="G25" s="376"/>
      <c r="H25" s="376"/>
      <c r="I25" s="376"/>
      <c r="J25" s="375"/>
      <c r="K25" s="707"/>
      <c r="L25" s="708">
        <v>2</v>
      </c>
      <c r="M25" s="374">
        <f>IFERROR(L25/C25-1,0)</f>
        <v>0</v>
      </c>
      <c r="N25" s="373"/>
    </row>
    <row r="26" spans="1:16" ht="14.65" customHeight="1" x14ac:dyDescent="0.2">
      <c r="A26" s="378" t="s">
        <v>529</v>
      </c>
      <c r="B26" s="706"/>
      <c r="C26" s="706"/>
      <c r="D26" s="707"/>
      <c r="E26" s="147">
        <f>C26-D26</f>
        <v>0</v>
      </c>
      <c r="F26" s="377"/>
      <c r="G26" s="376"/>
      <c r="H26" s="376"/>
      <c r="I26" s="376"/>
      <c r="J26" s="375"/>
      <c r="K26" s="707"/>
      <c r="L26" s="708"/>
      <c r="M26" s="374">
        <f>IFERROR(L26/C26-1,0)</f>
        <v>0</v>
      </c>
      <c r="N26" s="373"/>
      <c r="P26" s="220" t="s">
        <v>530</v>
      </c>
    </row>
    <row r="27" spans="1:16" ht="12.75" customHeight="1" x14ac:dyDescent="0.2">
      <c r="B27" s="673"/>
    </row>
  </sheetData>
  <mergeCells count="3">
    <mergeCell ref="F4:J4"/>
    <mergeCell ref="B4:E4"/>
    <mergeCell ref="K4:M4"/>
  </mergeCells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M9" sqref="M9"/>
    </sheetView>
  </sheetViews>
  <sheetFormatPr defaultColWidth="9.28515625" defaultRowHeight="12.75" customHeight="1" outlineLevelCol="1" x14ac:dyDescent="0.2"/>
  <cols>
    <col min="1" max="1" width="55.7109375" style="220" customWidth="1"/>
    <col min="2" max="5" width="15.7109375" style="220" customWidth="1"/>
    <col min="6" max="11" width="14.7109375" style="220" customWidth="1" outlineLevel="1"/>
    <col min="12" max="14" width="14.7109375" style="220" customWidth="1"/>
    <col min="15" max="15" width="55.28515625" style="220" customWidth="1"/>
    <col min="16" max="16" width="9.28515625" style="220"/>
    <col min="17" max="17" width="141.42578125" style="220" bestFit="1" customWidth="1"/>
    <col min="18" max="21" width="9.28515625" style="220"/>
    <col min="22" max="22" width="9.28515625" style="220" customWidth="1"/>
    <col min="23" max="16384" width="9.28515625" style="220"/>
  </cols>
  <sheetData>
    <row r="1" spans="1:17" ht="19.899999999999999" customHeight="1" x14ac:dyDescent="0.25">
      <c r="A1" s="60" t="str">
        <f>+'0. Instructions'!A1</f>
        <v>Budget 2024</v>
      </c>
      <c r="B1" s="60"/>
      <c r="C1" s="60"/>
      <c r="D1" s="389"/>
      <c r="E1" s="389"/>
      <c r="F1" s="389"/>
      <c r="G1" s="389"/>
      <c r="H1" s="389"/>
      <c r="I1" s="389"/>
      <c r="J1" s="389"/>
      <c r="K1" s="389"/>
      <c r="L1" s="218"/>
      <c r="M1" s="218"/>
      <c r="N1" s="218"/>
      <c r="O1" s="57" t="str">
        <f>'Input-FX Rates'!$H$1</f>
        <v>Plant ICH Icheon (242)</v>
      </c>
      <c r="Q1" s="389" t="s">
        <v>154</v>
      </c>
    </row>
    <row r="2" spans="1:17" ht="19.899999999999999" customHeight="1" thickBot="1" x14ac:dyDescent="0.3">
      <c r="A2" s="55" t="s">
        <v>494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7521 &amp; 7522 PL Mechatronic Sensors (&amp; Electrification)</v>
      </c>
      <c r="Q2" s="95" t="s">
        <v>156</v>
      </c>
    </row>
    <row r="4" spans="1:17" ht="37.5" customHeight="1" x14ac:dyDescent="0.2">
      <c r="A4" s="187" t="str">
        <f>"Logistic Cost"&amp;" in '000 EUR"</f>
        <v>Logistic Cost in '000 EUR</v>
      </c>
      <c r="B4" s="1029">
        <v>2023</v>
      </c>
      <c r="C4" s="1027"/>
      <c r="D4" s="1027"/>
      <c r="E4" s="1030"/>
      <c r="F4" s="1029" t="s">
        <v>241</v>
      </c>
      <c r="G4" s="1027"/>
      <c r="H4" s="1027"/>
      <c r="I4" s="1027"/>
      <c r="J4" s="1027"/>
      <c r="K4" s="1027"/>
      <c r="L4" s="1032">
        <v>2024</v>
      </c>
      <c r="M4" s="1027"/>
      <c r="N4" s="1028"/>
      <c r="O4" s="303" t="s">
        <v>208</v>
      </c>
    </row>
    <row r="5" spans="1:17" ht="47.25" customHeight="1" x14ac:dyDescent="0.2">
      <c r="A5" s="187"/>
      <c r="B5" s="645" t="s">
        <v>192</v>
      </c>
      <c r="C5" s="186" t="s">
        <v>19</v>
      </c>
      <c r="D5" s="186" t="s">
        <v>495</v>
      </c>
      <c r="E5" s="187" t="s">
        <v>496</v>
      </c>
      <c r="F5" s="645" t="s">
        <v>245</v>
      </c>
      <c r="G5" s="186" t="s">
        <v>246</v>
      </c>
      <c r="H5" s="186" t="s">
        <v>247</v>
      </c>
      <c r="I5" s="186" t="s">
        <v>248</v>
      </c>
      <c r="J5" s="186" t="s">
        <v>250</v>
      </c>
      <c r="K5" s="646" t="s">
        <v>314</v>
      </c>
      <c r="L5" s="646" t="s">
        <v>251</v>
      </c>
      <c r="M5" s="186" t="s">
        <v>15</v>
      </c>
      <c r="N5" s="186" t="s">
        <v>252</v>
      </c>
      <c r="O5" s="303"/>
    </row>
    <row r="6" spans="1:17" ht="15.75" x14ac:dyDescent="0.25">
      <c r="A6" s="79" t="s">
        <v>195</v>
      </c>
      <c r="B6" s="674">
        <f>IFERROR('5. Logistic Cost (LC)'!B6/'Input-FX Rates'!$E$16,0)</f>
        <v>7249.997525078973</v>
      </c>
      <c r="C6" s="386">
        <f>IFERROR('5. Logistic Cost (LC)'!C6/'Input-FX Rates'!$G$16,0)</f>
        <v>15111.540802308424</v>
      </c>
      <c r="D6" s="386">
        <f>IFERROR('5. Logistic Cost (LC)'!D6/'Input-FX Rates'!$G$16,0)</f>
        <v>0</v>
      </c>
      <c r="E6" s="383">
        <f>IFERROR('5. Logistic Cost (LC)'!E6/'Input-FX Rates'!$G$16,0)</f>
        <v>15111.540802308424</v>
      </c>
      <c r="F6" s="385">
        <f>IFERROR('5. Logistic Cost (LC)'!F6/'Input-FX Rates'!$G$16,0)</f>
        <v>-734.89605687517962</v>
      </c>
      <c r="G6" s="384">
        <f>IFERROR('5. Logistic Cost (LC)'!G6/'Input-FX Rates'!$G$16,0)</f>
        <v>0</v>
      </c>
      <c r="H6" s="384">
        <f>IFERROR('5. Logistic Cost (LC)'!H6/'Input-FX Rates'!$G$16,0)</f>
        <v>-618.2385282681139</v>
      </c>
      <c r="I6" s="384">
        <f>IFERROR('5. Logistic Cost (LC)'!I6/'Input-FX Rates'!$G$16,0)</f>
        <v>0</v>
      </c>
      <c r="J6" s="384">
        <f>IFERROR('5. Logistic Cost (LC)'!J6/'Input-FX Rates'!$G$16,0)</f>
        <v>897.01934866213958</v>
      </c>
      <c r="K6" s="382">
        <f>IFERROR(M6-'5. Logistic Cost (LC)'!L6/'Input-FX Rates'!$G$16,0)</f>
        <v>-468.16362789623599</v>
      </c>
      <c r="L6" s="382">
        <f>IFERROR('5. Logistic Cost (LC)'!K6/'Input-FX Rates'!$H$16,0)</f>
        <v>0</v>
      </c>
      <c r="M6" s="398">
        <f>IFERROR('5. Logistic Cost (LC)'!L6/'Input-FX Rates'!$H$16,0)</f>
        <v>14187.261937931033</v>
      </c>
      <c r="N6" s="380">
        <f>IFERROR(M6/C6-1,0)</f>
        <v>-6.1163773864555182E-2</v>
      </c>
      <c r="O6" s="907" t="str">
        <f>IF(ISBLANK('5. Logistic Cost (LC)'!N6),"",'5. Logistic Cost (LC)'!N6)</f>
        <v/>
      </c>
      <c r="Q6" s="219"/>
    </row>
    <row r="7" spans="1:17" ht="15.75" x14ac:dyDescent="0.25">
      <c r="A7" s="79" t="s">
        <v>497</v>
      </c>
      <c r="B7" s="674">
        <f>IFERROR('5. Logistic Cost (LC)'!B7/'Input-FX Rates'!$E$16,0)</f>
        <v>7023.4249454821365</v>
      </c>
      <c r="C7" s="386">
        <f>IFERROR('5. Logistic Cost (LC)'!C7/'Input-FX Rates'!$G$16,0)</f>
        <v>13650.591395693606</v>
      </c>
      <c r="D7" s="386">
        <f>IFERROR('5. Logistic Cost (LC)'!D7/'Input-FX Rates'!$G$16,0)</f>
        <v>0</v>
      </c>
      <c r="E7" s="383">
        <f>IFERROR('5. Logistic Cost (LC)'!E7/'Input-FX Rates'!$G$16,0)</f>
        <v>13650.591395693606</v>
      </c>
      <c r="F7" s="385">
        <f>IFERROR('5. Logistic Cost (LC)'!F7/'Input-FX Rates'!$G$16,0)</f>
        <v>0</v>
      </c>
      <c r="G7" s="384">
        <f>IFERROR('5. Logistic Cost (LC)'!G7/'Input-FX Rates'!$G$16,0)</f>
        <v>0</v>
      </c>
      <c r="H7" s="384">
        <f>IFERROR('5. Logistic Cost (LC)'!H7/'Input-FX Rates'!$G$16,0)</f>
        <v>0</v>
      </c>
      <c r="I7" s="384">
        <f>IFERROR('5. Logistic Cost (LC)'!I7/'Input-FX Rates'!$G$16,0)</f>
        <v>0</v>
      </c>
      <c r="J7" s="384">
        <f>IFERROR('5. Logistic Cost (LC)'!J7/'Input-FX Rates'!$G$16,0)</f>
        <v>0</v>
      </c>
      <c r="K7" s="382">
        <f>IFERROR(M7-'5. Logistic Cost (LC)'!L7/'Input-FX Rates'!$G$16,0)</f>
        <v>-425.78074942887724</v>
      </c>
      <c r="L7" s="382">
        <f>IFERROR('5. Logistic Cost (LC)'!K7/'Input-FX Rates'!$H$16,0)</f>
        <v>0</v>
      </c>
      <c r="M7" s="398">
        <f>IFERROR('5. Logistic Cost (LC)'!L7/'Input-FX Rates'!$H$16,0)</f>
        <v>12902.888349999999</v>
      </c>
      <c r="N7" s="380">
        <f>IFERROR(M7/C7-1,0)</f>
        <v>-5.477440676522527E-2</v>
      </c>
      <c r="O7" s="907" t="str">
        <f>IF(ISBLANK('5. Logistic Cost (LC)'!N7),"",'5. Logistic Cost (LC)'!N7)</f>
        <v/>
      </c>
      <c r="Q7" s="219"/>
    </row>
    <row r="8" spans="1:17" ht="15.75" x14ac:dyDescent="0.25">
      <c r="A8" s="79" t="s">
        <v>498</v>
      </c>
      <c r="B8" s="674">
        <f>IFERROR('5. Logistic Cost (LC)'!B8/'Input-FX Rates'!$E$16,0)</f>
        <v>-344.12993776548029</v>
      </c>
      <c r="C8" s="386">
        <f>IFERROR('5. Logistic Cost (LC)'!C8/'Input-FX Rates'!$G$16,0)</f>
        <v>-627.8644704772156</v>
      </c>
      <c r="D8" s="386">
        <f>IFERROR('5. Logistic Cost (LC)'!D8/'Input-FX Rates'!$G$16,0)</f>
        <v>-152.79020618625404</v>
      </c>
      <c r="E8" s="383">
        <f>IFERROR('5. Logistic Cost (LC)'!E8/'Input-FX Rates'!$G$16,0)</f>
        <v>-475.07426429096165</v>
      </c>
      <c r="F8" s="385">
        <f>IFERROR('5. Logistic Cost (LC)'!F8/'Input-FX Rates'!$G$16,0)</f>
        <v>23.103554061824941</v>
      </c>
      <c r="G8" s="384">
        <f>IFERROR('5. Logistic Cost (LC)'!G8/'Input-FX Rates'!$G$16,0)</f>
        <v>0</v>
      </c>
      <c r="H8" s="384">
        <f>IFERROR('5. Logistic Cost (LC)'!H8/'Input-FX Rates'!$G$16,0)</f>
        <v>-5.3588024021085872</v>
      </c>
      <c r="I8" s="384">
        <f>IFERROR('5. Logistic Cost (LC)'!I8/'Input-FX Rates'!$G$16,0)</f>
        <v>0</v>
      </c>
      <c r="J8" s="384">
        <f>IFERROR('5. Logistic Cost (LC)'!J8/'Input-FX Rates'!$G$16,0)</f>
        <v>0</v>
      </c>
      <c r="K8" s="382">
        <f>IFERROR(M8-'5. Logistic Cost (LC)'!L8/'Input-FX Rates'!$G$16,0)</f>
        <v>11.927144654213862</v>
      </c>
      <c r="L8" s="382">
        <f>IFERROR('5. Logistic Cost (LC)'!K8/'Input-FX Rates'!$H$16,0)</f>
        <v>0</v>
      </c>
      <c r="M8" s="398">
        <f>IFERROR('5. Logistic Cost (LC)'!L8/'Input-FX Rates'!$H$16,0)</f>
        <v>-361.44099049580717</v>
      </c>
      <c r="N8" s="380">
        <f>IFERROR(M8/C8-1,0)</f>
        <v>-0.4243327859894831</v>
      </c>
      <c r="O8" s="907" t="str">
        <f>IF(ISBLANK('5. Logistic Cost (LC)'!N8),"",'5. Logistic Cost (LC)'!N8)</f>
        <v/>
      </c>
      <c r="Q8" s="219"/>
    </row>
    <row r="9" spans="1:17" s="993" customFormat="1" ht="15.75" x14ac:dyDescent="0.2">
      <c r="A9" s="986" t="s">
        <v>499</v>
      </c>
      <c r="B9" s="987">
        <f>IFERROR(B8/$B$6,0)</f>
        <v>-4.7466214515946577E-2</v>
      </c>
      <c r="C9" s="988">
        <f>IFERROR(C8/$C$6,0)</f>
        <v>-4.1548673208843381E-2</v>
      </c>
      <c r="D9" s="988"/>
      <c r="E9" s="989">
        <f>IFERROR(E8/$E$6,0)</f>
        <v>-3.1437844128931566E-2</v>
      </c>
      <c r="F9" s="987">
        <f>IFERROR(F8/$E$6,0)</f>
        <v>1.5288681918058061E-3</v>
      </c>
      <c r="G9" s="988"/>
      <c r="H9" s="988"/>
      <c r="I9" s="988"/>
      <c r="J9" s="988"/>
      <c r="K9" s="987"/>
      <c r="L9" s="987">
        <f>IFERROR(L8/$L$6,0)</f>
        <v>0</v>
      </c>
      <c r="M9" s="990">
        <f>IFERROR(M8/$M$6,0)</f>
        <v>-2.5476444438476131E-2</v>
      </c>
      <c r="N9" s="990"/>
      <c r="O9" s="991" t="str">
        <f>IF(ISBLANK('5. Logistic Cost (LC)'!N9),"",'5. Logistic Cost (LC)'!N9)</f>
        <v/>
      </c>
      <c r="P9" s="992"/>
    </row>
    <row r="10" spans="1:17" ht="15.75" x14ac:dyDescent="0.2">
      <c r="A10" s="79" t="s">
        <v>500</v>
      </c>
      <c r="B10" s="674">
        <f>IFERROR('5. Logistic Cost (LC)'!B10/'Input-FX Rates'!$E$16,0)</f>
        <v>-198.02613091148666</v>
      </c>
      <c r="C10" s="386">
        <f>IFERROR('5. Logistic Cost (LC)'!C10/'Input-FX Rates'!$G$16,0)</f>
        <v>-331.05191437851767</v>
      </c>
      <c r="D10" s="386">
        <f>IFERROR('5. Logistic Cost (LC)'!D10/'Input-FX Rates'!$G$16,0)</f>
        <v>-132.01013159593467</v>
      </c>
      <c r="E10" s="383">
        <f>IFERROR('5. Logistic Cost (LC)'!E10/'Input-FX Rates'!$G$16,0)</f>
        <v>-199.04178278258297</v>
      </c>
      <c r="F10" s="385">
        <f>IFERROR('5. Logistic Cost (LC)'!F10/'Input-FX Rates'!$G$16,0)</f>
        <v>9.6802680416921767</v>
      </c>
      <c r="G10" s="384">
        <f>IFERROR('5. Logistic Cost (LC)'!G10/'Input-FX Rates'!$G$16,0)</f>
        <v>0</v>
      </c>
      <c r="H10" s="384">
        <f>IFERROR('5. Logistic Cost (LC)'!H10/'Input-FX Rates'!$G$16,0)</f>
        <v>-2.9195462724733989</v>
      </c>
      <c r="I10" s="384">
        <f>IFERROR('5. Logistic Cost (LC)'!I10/'Input-FX Rates'!$G$16,0)</f>
        <v>0</v>
      </c>
      <c r="J10" s="384">
        <f>IFERROR('5. Logistic Cost (LC)'!J10/'Input-FX Rates'!$G$16,0)</f>
        <v>10.416837762382922</v>
      </c>
      <c r="K10" s="382">
        <f>IFERROR(M10-'5. Logistic Cost (LC)'!L10/'Input-FX Rates'!$G$16,0)</f>
        <v>5.8096036965477253</v>
      </c>
      <c r="L10" s="382">
        <f>IFERROR('5. Logistic Cost (LC)'!K10/'Input-FX Rates'!$H$16,0)</f>
        <v>0</v>
      </c>
      <c r="M10" s="398">
        <f>IFERROR('5. Logistic Cost (LC)'!L10/'Input-FX Rates'!$H$16,0)</f>
        <v>-176.05461955443354</v>
      </c>
      <c r="N10" s="380">
        <f>IFERROR(M10/C10-1,0)</f>
        <v>-0.46819634048955694</v>
      </c>
      <c r="O10" s="907" t="str">
        <f>IF(ISBLANK('5. Logistic Cost (LC)'!N10),"",'5. Logistic Cost (LC)'!N10)</f>
        <v/>
      </c>
    </row>
    <row r="11" spans="1:17" ht="15" x14ac:dyDescent="0.25">
      <c r="A11" s="390" t="s">
        <v>531</v>
      </c>
      <c r="B11" s="210">
        <f>IFERROR('5. Logistic Cost (LC)'!B11/'Input-FX Rates'!$E$16,0)</f>
        <v>-35.143296785262478</v>
      </c>
      <c r="C11" s="208">
        <f>IFERROR('5. Logistic Cost (LC)'!C11/'Input-FX Rates'!$G$16,0)</f>
        <v>-77.140947517819839</v>
      </c>
      <c r="D11" s="208">
        <f>IFERROR('5. Logistic Cost (LC)'!D11/'Input-FX Rates'!$G$16,0)</f>
        <v>0</v>
      </c>
      <c r="E11" s="209">
        <f>IFERROR('5. Logistic Cost (LC)'!E11/'Input-FX Rates'!$G$16,0)</f>
        <v>-77.140947517819839</v>
      </c>
      <c r="F11" s="210">
        <f>IFERROR('5. Logistic Cost (LC)'!F11/'Input-FX Rates'!$G$16,0)</f>
        <v>3.7515669346151754</v>
      </c>
      <c r="G11" s="208">
        <f>IFERROR('5. Logistic Cost (LC)'!G11/'Input-FX Rates'!$G$16,0)</f>
        <v>0</v>
      </c>
      <c r="H11" s="208">
        <f>IFERROR('5. Logistic Cost (LC)'!H11/'Input-FX Rates'!$G$16,0)</f>
        <v>-2.9195462724733989</v>
      </c>
      <c r="I11" s="208">
        <f>IFERROR('5. Logistic Cost (LC)'!I11/'Input-FX Rates'!$G$16,0)</f>
        <v>0</v>
      </c>
      <c r="J11" s="208">
        <f>IFERROR('5. Logistic Cost (LC)'!J11/'Input-FX Rates'!$G$16,0)</f>
        <v>-4.4651866827524271</v>
      </c>
      <c r="K11" s="210">
        <f>IFERROR(M11-'5. Logistic Cost (LC)'!L11/'Input-FX Rates'!$G$16,0)</f>
        <v>2.5803073315339304</v>
      </c>
      <c r="L11" s="210">
        <f>IFERROR('5. Logistic Cost (LC)'!K11/'Input-FX Rates'!$H$16,0)</f>
        <v>0</v>
      </c>
      <c r="M11" s="397">
        <f>IFERROR('5. Logistic Cost (LC)'!L11/'Input-FX Rates'!$H$16,0)</f>
        <v>-78.193806206896554</v>
      </c>
      <c r="N11" s="387">
        <f t="shared" ref="N11:N23" si="0">IFERROR(M11/C11-1,0)</f>
        <v>1.364850605229484E-2</v>
      </c>
      <c r="O11" s="908" t="str">
        <f>IF(ISBLANK('5. Logistic Cost (LC)'!N11),"",'5. Logistic Cost (LC)'!N11)</f>
        <v/>
      </c>
      <c r="Q11" s="219" t="s">
        <v>532</v>
      </c>
    </row>
    <row r="12" spans="1:17" ht="15" x14ac:dyDescent="0.25">
      <c r="A12" s="390" t="s">
        <v>503</v>
      </c>
      <c r="B12" s="210">
        <f>IFERROR('5. Logistic Cost (LC)'!B12/'Input-FX Rates'!$E$16,0)</f>
        <v>-49.900462773825531</v>
      </c>
      <c r="C12" s="208">
        <f>IFERROR('5. Logistic Cost (LC)'!C12/'Input-FX Rates'!$G$16,0)</f>
        <v>-95.044223297630381</v>
      </c>
      <c r="D12" s="208">
        <f>IFERROR('5. Logistic Cost (LC)'!D12/'Input-FX Rates'!$G$16,0)</f>
        <v>0</v>
      </c>
      <c r="E12" s="209">
        <f>IFERROR('5. Logistic Cost (LC)'!E12/'Input-FX Rates'!$G$16,0)</f>
        <v>-95.044223297630381</v>
      </c>
      <c r="F12" s="210">
        <f>IFERROR('5. Logistic Cost (LC)'!F12/'Input-FX Rates'!$G$16,0)</f>
        <v>4.6221356383940861</v>
      </c>
      <c r="G12" s="208">
        <f>IFERROR('5. Logistic Cost (LC)'!G12/'Input-FX Rates'!$G$16,0)</f>
        <v>0</v>
      </c>
      <c r="H12" s="208">
        <f>IFERROR('5. Logistic Cost (LC)'!H12/'Input-FX Rates'!$G$16,0)</f>
        <v>0</v>
      </c>
      <c r="I12" s="208">
        <f>IFERROR('5. Logistic Cost (LC)'!I12/'Input-FX Rates'!$G$16,0)</f>
        <v>0</v>
      </c>
      <c r="J12" s="208">
        <f>IFERROR('5. Logistic Cost (LC)'!J12/'Input-FX Rates'!$G$16,0)</f>
        <v>18.041032286583821</v>
      </c>
      <c r="K12" s="210">
        <f>IFERROR(M12-'5. Logistic Cost (LC)'!L12/'Input-FX Rates'!$G$16,0)</f>
        <v>2.3121933458713784</v>
      </c>
      <c r="L12" s="210">
        <f>IFERROR('5. Logistic Cost (LC)'!K12/'Input-FX Rates'!$H$16,0)</f>
        <v>0</v>
      </c>
      <c r="M12" s="397">
        <f>IFERROR('5. Logistic Cost (LC)'!L12/'Input-FX Rates'!$H$16,0)</f>
        <v>-70.06886202678109</v>
      </c>
      <c r="N12" s="387">
        <f t="shared" si="0"/>
        <v>-0.2627762151586962</v>
      </c>
      <c r="O12" s="908" t="str">
        <f>IF(ISBLANK('5. Logistic Cost (LC)'!N12),"",'5. Logistic Cost (LC)'!N12)</f>
        <v/>
      </c>
      <c r="Q12" s="219" t="s">
        <v>504</v>
      </c>
    </row>
    <row r="13" spans="1:17" ht="15" x14ac:dyDescent="0.25">
      <c r="A13" s="390" t="s">
        <v>505</v>
      </c>
      <c r="B13" s="210">
        <f>IFERROR('5. Logistic Cost (LC)'!B13/'Input-FX Rates'!$E$16,0)</f>
        <v>-98.161872513113053</v>
      </c>
      <c r="C13" s="208">
        <f>IFERROR('5. Logistic Cost (LC)'!C13/'Input-FX Rates'!$G$16,0)</f>
        <v>-132.01013159593467</v>
      </c>
      <c r="D13" s="208">
        <f>IFERROR('5. Logistic Cost (LC)'!D13/'Input-FX Rates'!$G$16,0)</f>
        <v>-132.01013159593467</v>
      </c>
      <c r="E13" s="209">
        <f>IFERROR('5. Logistic Cost (LC)'!E13/'Input-FX Rates'!$G$16,0)</f>
        <v>0</v>
      </c>
      <c r="F13" s="210">
        <f>IFERROR('5. Logistic Cost (LC)'!F13/'Input-FX Rates'!$G$16,0)</f>
        <v>0</v>
      </c>
      <c r="G13" s="208">
        <f>IFERROR('5. Logistic Cost (LC)'!G13/'Input-FX Rates'!$G$16,0)</f>
        <v>0</v>
      </c>
      <c r="H13" s="208">
        <f>IFERROR('5. Logistic Cost (LC)'!H13/'Input-FX Rates'!$G$16,0)</f>
        <v>0</v>
      </c>
      <c r="I13" s="208">
        <f>IFERROR('5. Logistic Cost (LC)'!I13/'Input-FX Rates'!$G$16,0)</f>
        <v>0</v>
      </c>
      <c r="J13" s="208">
        <f>IFERROR('5. Logistic Cost (LC)'!J13/'Input-FX Rates'!$G$16,0)</f>
        <v>0</v>
      </c>
      <c r="K13" s="210">
        <f>IFERROR(M13-'5. Logistic Cost (LC)'!L13/'Input-FX Rates'!$G$16,0)</f>
        <v>0</v>
      </c>
      <c r="L13" s="210">
        <f>IFERROR('5. Logistic Cost (LC)'!K13/'Input-FX Rates'!$H$16,0)</f>
        <v>0</v>
      </c>
      <c r="M13" s="397">
        <f>IFERROR('5. Logistic Cost (LC)'!L13/'Input-FX Rates'!$H$16,0)</f>
        <v>0</v>
      </c>
      <c r="N13" s="387">
        <f t="shared" si="0"/>
        <v>-1</v>
      </c>
      <c r="O13" s="908" t="str">
        <f>IF(ISBLANK('5. Logistic Cost (LC)'!N13),"",'5. Logistic Cost (LC)'!N13)</f>
        <v/>
      </c>
      <c r="Q13" s="219" t="s">
        <v>506</v>
      </c>
    </row>
    <row r="14" spans="1:17" ht="15" x14ac:dyDescent="0.25">
      <c r="A14" s="390" t="s">
        <v>507</v>
      </c>
      <c r="B14" s="210">
        <f>IFERROR('5. Logistic Cost (LC)'!B14/'Input-FX Rates'!$E$16,0)</f>
        <v>0</v>
      </c>
      <c r="C14" s="208">
        <f>IFERROR('5. Logistic Cost (LC)'!C14/'Input-FX Rates'!$G$16,0)</f>
        <v>0</v>
      </c>
      <c r="D14" s="208">
        <f>IFERROR('5. Logistic Cost (LC)'!D14/'Input-FX Rates'!$G$16,0)</f>
        <v>0</v>
      </c>
      <c r="E14" s="209">
        <f>IFERROR('5. Logistic Cost (LC)'!E14/'Input-FX Rates'!$G$16,0)</f>
        <v>0</v>
      </c>
      <c r="F14" s="210">
        <f>IFERROR('5. Logistic Cost (LC)'!F14/'Input-FX Rates'!$G$16,0)</f>
        <v>0</v>
      </c>
      <c r="G14" s="208">
        <f>IFERROR('5. Logistic Cost (LC)'!G14/'Input-FX Rates'!$G$16,0)</f>
        <v>0</v>
      </c>
      <c r="H14" s="208">
        <f>IFERROR('5. Logistic Cost (LC)'!H14/'Input-FX Rates'!$G$16,0)</f>
        <v>0</v>
      </c>
      <c r="I14" s="208">
        <f>IFERROR('5. Logistic Cost (LC)'!I14/'Input-FX Rates'!$G$16,0)</f>
        <v>0</v>
      </c>
      <c r="J14" s="208">
        <f>IFERROR('5. Logistic Cost (LC)'!J14/'Input-FX Rates'!$G$16,0)</f>
        <v>0</v>
      </c>
      <c r="K14" s="210">
        <f>IFERROR(M14-'5. Logistic Cost (LC)'!L14/'Input-FX Rates'!$G$16,0)</f>
        <v>0</v>
      </c>
      <c r="L14" s="210">
        <f>IFERROR('5. Logistic Cost (LC)'!K14/'Input-FX Rates'!$H$16,0)</f>
        <v>0</v>
      </c>
      <c r="M14" s="397">
        <f>IFERROR('5. Logistic Cost (LC)'!L14/'Input-FX Rates'!$H$16,0)</f>
        <v>0</v>
      </c>
      <c r="N14" s="387">
        <f t="shared" si="0"/>
        <v>0</v>
      </c>
      <c r="O14" s="908" t="str">
        <f>IF(ISBLANK('5. Logistic Cost (LC)'!N14),"",'5. Logistic Cost (LC)'!N14)</f>
        <v/>
      </c>
      <c r="Q14" s="219" t="s">
        <v>508</v>
      </c>
    </row>
    <row r="15" spans="1:17" ht="15" x14ac:dyDescent="0.25">
      <c r="A15" s="390" t="s">
        <v>509</v>
      </c>
      <c r="B15" s="210">
        <f>IFERROR('5. Logistic Cost (LC)'!B15/'Input-FX Rates'!$E$16,0)</f>
        <v>-14.764249530917876</v>
      </c>
      <c r="C15" s="208">
        <f>IFERROR('5. Logistic Cost (LC)'!C15/'Input-FX Rates'!$G$16,0)</f>
        <v>-26.728164531207849</v>
      </c>
      <c r="D15" s="208">
        <f>IFERROR('5. Logistic Cost (LC)'!D15/'Input-FX Rates'!$G$16,0)</f>
        <v>0</v>
      </c>
      <c r="E15" s="209">
        <f>IFERROR('5. Logistic Cost (LC)'!E15/'Input-FX Rates'!$G$16,0)</f>
        <v>-26.728164531207849</v>
      </c>
      <c r="F15" s="210">
        <f>IFERROR('5. Logistic Cost (LC)'!F15/'Input-FX Rates'!$G$16,0)</f>
        <v>1.3001537515519741</v>
      </c>
      <c r="G15" s="208">
        <f>IFERROR('5. Logistic Cost (LC)'!G15/'Input-FX Rates'!$G$16,0)</f>
        <v>0</v>
      </c>
      <c r="H15" s="208">
        <f>IFERROR('5. Logistic Cost (LC)'!H15/'Input-FX Rates'!$G$16,0)</f>
        <v>0</v>
      </c>
      <c r="I15" s="208">
        <f>IFERROR('5. Logistic Cost (LC)'!I15/'Input-FX Rates'!$G$16,0)</f>
        <v>0</v>
      </c>
      <c r="J15" s="208">
        <f>IFERROR('5. Logistic Cost (LC)'!J15/'Input-FX Rates'!$G$16,0)</f>
        <v>-3.2810435602424279</v>
      </c>
      <c r="K15" s="210">
        <f>IFERROR(M15-'5. Logistic Cost (LC)'!L15/'Input-FX Rates'!$G$16,0)</f>
        <v>0.91710301914240233</v>
      </c>
      <c r="L15" s="210">
        <f>IFERROR('5. Logistic Cost (LC)'!K15/'Input-FX Rates'!$H$16,0)</f>
        <v>0</v>
      </c>
      <c r="M15" s="397">
        <f>IFERROR('5. Logistic Cost (LC)'!L15/'Input-FX Rates'!$H$16,0)</f>
        <v>-27.791951320755903</v>
      </c>
      <c r="N15" s="387">
        <f t="shared" si="0"/>
        <v>3.9800218541231169E-2</v>
      </c>
      <c r="O15" s="908" t="str">
        <f>IF(ISBLANK('5. Logistic Cost (LC)'!N15),"",'5. Logistic Cost (LC)'!N15)</f>
        <v/>
      </c>
      <c r="Q15" s="219" t="s">
        <v>510</v>
      </c>
    </row>
    <row r="16" spans="1:17" ht="15" x14ac:dyDescent="0.25">
      <c r="A16" s="390" t="s">
        <v>511</v>
      </c>
      <c r="B16" s="210">
        <f>IFERROR('5. Logistic Cost (LC)'!B16/'Input-FX Rates'!$E$16,0)</f>
        <v>0</v>
      </c>
      <c r="C16" s="208">
        <f>IFERROR('5. Logistic Cost (LC)'!C16/'Input-FX Rates'!$G$16,0)</f>
        <v>0</v>
      </c>
      <c r="D16" s="208">
        <f>IFERROR('5. Logistic Cost (LC)'!D16/'Input-FX Rates'!$G$16,0)</f>
        <v>0</v>
      </c>
      <c r="E16" s="209">
        <f>IFERROR('5. Logistic Cost (LC)'!E16/'Input-FX Rates'!$G$16,0)</f>
        <v>0</v>
      </c>
      <c r="F16" s="210">
        <f>IFERROR('5. Logistic Cost (LC)'!F16/'Input-FX Rates'!$G$16,0)</f>
        <v>0</v>
      </c>
      <c r="G16" s="208">
        <f>IFERROR('5. Logistic Cost (LC)'!G16/'Input-FX Rates'!$G$16,0)</f>
        <v>0</v>
      </c>
      <c r="H16" s="208">
        <f>IFERROR('5. Logistic Cost (LC)'!H16/'Input-FX Rates'!$G$16,0)</f>
        <v>0</v>
      </c>
      <c r="I16" s="208">
        <f>IFERROR('5. Logistic Cost (LC)'!I16/'Input-FX Rates'!$G$16,0)</f>
        <v>0</v>
      </c>
      <c r="J16" s="208">
        <f>IFERROR('5. Logistic Cost (LC)'!J16/'Input-FX Rates'!$G$16,0)</f>
        <v>0</v>
      </c>
      <c r="K16" s="210">
        <f>IFERROR(M16-'5. Logistic Cost (LC)'!L16/'Input-FX Rates'!$G$16,0)</f>
        <v>0</v>
      </c>
      <c r="L16" s="210">
        <f>IFERROR('5. Logistic Cost (LC)'!K16/'Input-FX Rates'!$H$16,0)</f>
        <v>0</v>
      </c>
      <c r="M16" s="397">
        <f>IFERROR('5. Logistic Cost (LC)'!L16/'Input-FX Rates'!$H$16,0)</f>
        <v>0</v>
      </c>
      <c r="N16" s="387">
        <f t="shared" si="0"/>
        <v>0</v>
      </c>
      <c r="O16" s="908" t="str">
        <f>IF(ISBLANK('5. Logistic Cost (LC)'!N16),"",'5. Logistic Cost (LC)'!N16)</f>
        <v/>
      </c>
      <c r="Q16" s="219" t="s">
        <v>512</v>
      </c>
    </row>
    <row r="17" spans="1:17" ht="15" x14ac:dyDescent="0.25">
      <c r="A17" s="390" t="s">
        <v>533</v>
      </c>
      <c r="B17" s="210">
        <f>IFERROR('5. Logistic Cost (LC)'!B17/'Input-FX Rates'!$E$16,0)</f>
        <v>-5.6249308367721552E-2</v>
      </c>
      <c r="C17" s="208">
        <f>IFERROR('5. Logistic Cost (LC)'!C17/'Input-FX Rates'!$G$16,0)</f>
        <v>-0.12844743592489583</v>
      </c>
      <c r="D17" s="208">
        <f>IFERROR('5. Logistic Cost (LC)'!D17/'Input-FX Rates'!$G$16,0)</f>
        <v>0</v>
      </c>
      <c r="E17" s="209">
        <f>IFERROR('5. Logistic Cost (LC)'!E17/'Input-FX Rates'!$G$16,0)</f>
        <v>-0.12844743592489583</v>
      </c>
      <c r="F17" s="210">
        <f>IFERROR('5. Logistic Cost (LC)'!F17/'Input-FX Rates'!$G$16,0)</f>
        <v>6.4117171309412413E-3</v>
      </c>
      <c r="G17" s="208">
        <f>IFERROR('5. Logistic Cost (LC)'!G17/'Input-FX Rates'!$G$16,0)</f>
        <v>0</v>
      </c>
      <c r="H17" s="208">
        <f>IFERROR('5. Logistic Cost (LC)'!H17/'Input-FX Rates'!$G$16,0)</f>
        <v>0</v>
      </c>
      <c r="I17" s="208">
        <f>IFERROR('5. Logistic Cost (LC)'!I17/'Input-FX Rates'!$G$16,0)</f>
        <v>0</v>
      </c>
      <c r="J17" s="208">
        <f>IFERROR('5. Logistic Cost (LC)'!J17/'Input-FX Rates'!$G$16,0)</f>
        <v>0.1220357187939546</v>
      </c>
      <c r="K17" s="210">
        <f>IFERROR(M17-'5. Logistic Cost (LC)'!L17/'Input-FX Rates'!$G$16,0)</f>
        <v>0</v>
      </c>
      <c r="L17" s="210">
        <f>IFERROR('5. Logistic Cost (LC)'!K17/'Input-FX Rates'!$H$16,0)</f>
        <v>0</v>
      </c>
      <c r="M17" s="397">
        <f>IFERROR('5. Logistic Cost (LC)'!L17/'Input-FX Rates'!$H$16,0)</f>
        <v>0</v>
      </c>
      <c r="N17" s="387">
        <f t="shared" si="0"/>
        <v>-1</v>
      </c>
      <c r="O17" s="908" t="str">
        <f>IF(ISBLANK('5. Logistic Cost (LC)'!N17),"",'5. Logistic Cost (LC)'!N17)</f>
        <v/>
      </c>
      <c r="Q17" s="219" t="s">
        <v>514</v>
      </c>
    </row>
    <row r="18" spans="1:17" ht="15.75" x14ac:dyDescent="0.25">
      <c r="A18" s="79" t="s">
        <v>515</v>
      </c>
      <c r="B18" s="675">
        <f>IFERROR('5. Logistic Cost (LC)'!B18/'Input-FX Rates'!$E$16,0)</f>
        <v>-146.1038068539936</v>
      </c>
      <c r="C18" s="396">
        <f>IFERROR('5. Logistic Cost (LC)'!C18/'Input-FX Rates'!$G$16,0)</f>
        <v>-296.81255609869805</v>
      </c>
      <c r="D18" s="396">
        <f>IFERROR('5. Logistic Cost (LC)'!D18/'Input-FX Rates'!$G$16,0)</f>
        <v>-20.780074590319352</v>
      </c>
      <c r="E18" s="395">
        <f>IFERROR('5. Logistic Cost (LC)'!E18/'Input-FX Rates'!$G$16,0)</f>
        <v>-276.03248150837874</v>
      </c>
      <c r="F18" s="394">
        <f>IFERROR('5. Logistic Cost (LC)'!F18/'Input-FX Rates'!$G$16,0)</f>
        <v>13.424710846161862</v>
      </c>
      <c r="G18" s="393">
        <f>IFERROR('5. Logistic Cost (LC)'!G18/'Input-FX Rates'!$G$16,0)</f>
        <v>0</v>
      </c>
      <c r="H18" s="393">
        <f>IFERROR('5. Logistic Cost (LC)'!H18/'Input-FX Rates'!$G$16,0)</f>
        <v>-2.4392561296351887</v>
      </c>
      <c r="I18" s="393">
        <f>IFERROR('5. Logistic Cost (LC)'!I18/'Input-FX Rates'!$G$16,0)</f>
        <v>0</v>
      </c>
      <c r="J18" s="393">
        <f>IFERROR('5. Logistic Cost (LC)'!J18/'Input-FX Rates'!$G$16,0)</f>
        <v>73.543114892812255</v>
      </c>
      <c r="K18" s="392">
        <f>IFERROR(M18-'5. Logistic Cost (LC)'!L18/'Input-FX Rates'!$G$16,0)</f>
        <v>6.1175409576661082</v>
      </c>
      <c r="L18" s="392">
        <f>IFERROR('5. Logistic Cost (LC)'!K18/'Input-FX Rates'!$H$16,0)</f>
        <v>0</v>
      </c>
      <c r="M18" s="391">
        <f>IFERROR('5. Logistic Cost (LC)'!L18/'Input-FX Rates'!$H$16,0)</f>
        <v>-185.38637094137363</v>
      </c>
      <c r="N18" s="380">
        <f t="shared" si="0"/>
        <v>-0.37540927049013473</v>
      </c>
      <c r="O18" s="909" t="str">
        <f>IF(ISBLANK('5. Logistic Cost (LC)'!N18),"",'5. Logistic Cost (LC)'!N18)</f>
        <v/>
      </c>
      <c r="Q18" s="219"/>
    </row>
    <row r="19" spans="1:17" ht="15" x14ac:dyDescent="0.25">
      <c r="A19" s="390" t="s">
        <v>534</v>
      </c>
      <c r="B19" s="210">
        <f>IFERROR('5. Logistic Cost (LC)'!B19/'Input-FX Rates'!$E$16,0)</f>
        <v>-33.575797308265329</v>
      </c>
      <c r="C19" s="208">
        <f>IFERROR('5. Logistic Cost (LC)'!C19/'Input-FX Rates'!$G$16,0)</f>
        <v>-66.23762761406968</v>
      </c>
      <c r="D19" s="208">
        <f>IFERROR('5. Logistic Cost (LC)'!D19/'Input-FX Rates'!$G$16,0)</f>
        <v>0</v>
      </c>
      <c r="E19" s="209">
        <f>IFERROR('5. Logistic Cost (LC)'!E19/'Input-FX Rates'!$G$16,0)</f>
        <v>-66.23762761406968</v>
      </c>
      <c r="F19" s="210">
        <f>IFERROR('5. Logistic Cost (LC)'!F19/'Input-FX Rates'!$G$16,0)</f>
        <v>3.2215316517906993</v>
      </c>
      <c r="G19" s="208">
        <f>IFERROR('5. Logistic Cost (LC)'!G19/'Input-FX Rates'!$G$16,0)</f>
        <v>0</v>
      </c>
      <c r="H19" s="208">
        <f>IFERROR('5. Logistic Cost (LC)'!H19/'Input-FX Rates'!$G$16,0)</f>
        <v>-2.4392561296351887</v>
      </c>
      <c r="I19" s="208">
        <f>IFERROR('5. Logistic Cost (LC)'!I19/'Input-FX Rates'!$G$16,0)</f>
        <v>0</v>
      </c>
      <c r="J19" s="208">
        <f>IFERROR('5. Logistic Cost (LC)'!J19/'Input-FX Rates'!$G$16,0)</f>
        <v>-2.0307341613258347</v>
      </c>
      <c r="K19" s="210">
        <f>IFERROR(M19-'5. Logistic Cost (LC)'!L19/'Input-FX Rates'!$G$16,0)</f>
        <v>2.1558248739296602</v>
      </c>
      <c r="L19" s="210">
        <f>IFERROR('5. Logistic Cost (LC)'!K19/'Input-FX Rates'!$H$16,0)</f>
        <v>0</v>
      </c>
      <c r="M19" s="397">
        <f>IFERROR('5. Logistic Cost (LC)'!L19/'Input-FX Rates'!$H$16,0)</f>
        <v>-65.330261379310343</v>
      </c>
      <c r="N19" s="387">
        <f t="shared" si="0"/>
        <v>-1.3698652373935638E-2</v>
      </c>
      <c r="O19" s="908" t="str">
        <f>IF(ISBLANK('5. Logistic Cost (LC)'!N19),"",'5. Logistic Cost (LC)'!N19)</f>
        <v/>
      </c>
      <c r="Q19" s="219" t="s">
        <v>517</v>
      </c>
    </row>
    <row r="20" spans="1:17" ht="15" x14ac:dyDescent="0.25">
      <c r="A20" s="390" t="s">
        <v>518</v>
      </c>
      <c r="B20" s="210">
        <f>IFERROR('5. Logistic Cost (LC)'!B20/'Input-FX Rates'!$E$16,0)</f>
        <v>-41.63703269375673</v>
      </c>
      <c r="C20" s="208">
        <f>IFERROR('5. Logistic Cost (LC)'!C20/'Input-FX Rates'!$G$16,0)</f>
        <v>-90.237132672763991</v>
      </c>
      <c r="D20" s="208">
        <f>IFERROR('5. Logistic Cost (LC)'!D20/'Input-FX Rates'!$G$16,0)</f>
        <v>0</v>
      </c>
      <c r="E20" s="209">
        <f>IFERROR('5. Logistic Cost (LC)'!E20/'Input-FX Rates'!$G$16,0)</f>
        <v>-90.237132672763991</v>
      </c>
      <c r="F20" s="210">
        <f>IFERROR('5. Logistic Cost (LC)'!F20/'Input-FX Rates'!$G$16,0)</f>
        <v>4.3884641696220053</v>
      </c>
      <c r="G20" s="208">
        <f>IFERROR('5. Logistic Cost (LC)'!G20/'Input-FX Rates'!$G$16,0)</f>
        <v>0</v>
      </c>
      <c r="H20" s="208">
        <f>IFERROR('5. Logistic Cost (LC)'!H20/'Input-FX Rates'!$G$16,0)</f>
        <v>0</v>
      </c>
      <c r="I20" s="208">
        <f>IFERROR('5. Logistic Cost (LC)'!I20/'Input-FX Rates'!$G$16,0)</f>
        <v>0</v>
      </c>
      <c r="J20" s="208">
        <f>IFERROR('5. Logistic Cost (LC)'!J20/'Input-FX Rates'!$G$16,0)</f>
        <v>25.985807117367212</v>
      </c>
      <c r="K20" s="210">
        <f>IFERROR(M20-'5. Logistic Cost (LC)'!L20/'Input-FX Rates'!$G$16,0)</f>
        <v>1.912303005923107</v>
      </c>
      <c r="L20" s="210">
        <f>IFERROR('5. Logistic Cost (LC)'!K20/'Input-FX Rates'!$H$16,0)</f>
        <v>0</v>
      </c>
      <c r="M20" s="397">
        <f>IFERROR('5. Logistic Cost (LC)'!L20/'Input-FX Rates'!$H$16,0)</f>
        <v>-57.950558379851671</v>
      </c>
      <c r="N20" s="387">
        <f t="shared" si="0"/>
        <v>-0.35779698818663019</v>
      </c>
      <c r="O20" s="908" t="str">
        <f>IF(ISBLANK('5. Logistic Cost (LC)'!N20),"",'5. Logistic Cost (LC)'!N20)</f>
        <v/>
      </c>
      <c r="Q20" s="219" t="s">
        <v>535</v>
      </c>
    </row>
    <row r="21" spans="1:17" ht="15" x14ac:dyDescent="0.25">
      <c r="A21" s="390" t="s">
        <v>520</v>
      </c>
      <c r="B21" s="210">
        <f>IFERROR('5. Logistic Cost (LC)'!B21/'Input-FX Rates'!$E$16,0)</f>
        <v>-9.9939124224031595</v>
      </c>
      <c r="C21" s="208">
        <f>IFERROR('5. Logistic Cost (LC)'!C21/'Input-FX Rates'!$G$16,0)</f>
        <v>-20.780074590319352</v>
      </c>
      <c r="D21" s="208">
        <f>IFERROR('5. Logistic Cost (LC)'!D21/'Input-FX Rates'!$G$16,0)</f>
        <v>-20.780074590319352</v>
      </c>
      <c r="E21" s="209">
        <f>IFERROR('5. Logistic Cost (LC)'!E21/'Input-FX Rates'!$G$16,0)</f>
        <v>0</v>
      </c>
      <c r="F21" s="210">
        <f>IFERROR('5. Logistic Cost (LC)'!F21/'Input-FX Rates'!$G$16,0)</f>
        <v>0</v>
      </c>
      <c r="G21" s="208">
        <f>IFERROR('5. Logistic Cost (LC)'!G21/'Input-FX Rates'!$G$16,0)</f>
        <v>0</v>
      </c>
      <c r="H21" s="208">
        <f>IFERROR('5. Logistic Cost (LC)'!H21/'Input-FX Rates'!$G$16,0)</f>
        <v>0</v>
      </c>
      <c r="I21" s="208">
        <f>IFERROR('5. Logistic Cost (LC)'!I21/'Input-FX Rates'!$G$16,0)</f>
        <v>0</v>
      </c>
      <c r="J21" s="208">
        <f>IFERROR('5. Logistic Cost (LC)'!J21/'Input-FX Rates'!$G$16,0)</f>
        <v>0</v>
      </c>
      <c r="K21" s="210">
        <f>IFERROR(M21-'5. Logistic Cost (LC)'!L21/'Input-FX Rates'!$G$16,0)</f>
        <v>0</v>
      </c>
      <c r="L21" s="210">
        <f>IFERROR('5. Logistic Cost (LC)'!K21/'Input-FX Rates'!$H$16,0)</f>
        <v>0</v>
      </c>
      <c r="M21" s="397">
        <f>IFERROR('5. Logistic Cost (LC)'!L21/'Input-FX Rates'!$H$16,0)</f>
        <v>0</v>
      </c>
      <c r="N21" s="387">
        <f t="shared" si="0"/>
        <v>-1</v>
      </c>
      <c r="O21" s="908" t="str">
        <f>IF(ISBLANK('5. Logistic Cost (LC)'!N21),"",'5. Logistic Cost (LC)'!N21)</f>
        <v/>
      </c>
      <c r="Q21" s="219" t="s">
        <v>521</v>
      </c>
    </row>
    <row r="22" spans="1:17" ht="15" x14ac:dyDescent="0.25">
      <c r="A22" s="390" t="s">
        <v>522</v>
      </c>
      <c r="B22" s="210">
        <f>IFERROR('5. Logistic Cost (LC)'!B22/'Input-FX Rates'!$E$16,0)</f>
        <v>-13.075793018021493</v>
      </c>
      <c r="C22" s="208">
        <f>IFERROR('5. Logistic Cost (LC)'!C22/'Input-FX Rates'!$G$16,0)</f>
        <v>-26.613233150735429</v>
      </c>
      <c r="D22" s="208">
        <f>IFERROR('5. Logistic Cost (LC)'!D22/'Input-FX Rates'!$G$16,0)</f>
        <v>0</v>
      </c>
      <c r="E22" s="209">
        <f>IFERROR('5. Logistic Cost (LC)'!E22/'Input-FX Rates'!$G$16,0)</f>
        <v>-26.613233150735429</v>
      </c>
      <c r="F22" s="210">
        <f>IFERROR('5. Logistic Cost (LC)'!F22/'Input-FX Rates'!$G$16,0)</f>
        <v>1.2944544474355817</v>
      </c>
      <c r="G22" s="208">
        <f>IFERROR('5. Logistic Cost (LC)'!G22/'Input-FX Rates'!$G$16,0)</f>
        <v>0</v>
      </c>
      <c r="H22" s="208">
        <f>IFERROR('5. Logistic Cost (LC)'!H22/'Input-FX Rates'!$G$16,0)</f>
        <v>0</v>
      </c>
      <c r="I22" s="208">
        <f>IFERROR('5. Logistic Cost (LC)'!I22/'Input-FX Rates'!$G$16,0)</f>
        <v>0</v>
      </c>
      <c r="J22" s="208">
        <f>IFERROR('5. Logistic Cost (LC)'!J22/'Input-FX Rates'!$G$16,0)</f>
        <v>-1.8055809816637107</v>
      </c>
      <c r="K22" s="210">
        <f>IFERROR(M22-'5. Logistic Cost (LC)'!L22/'Input-FX Rates'!$G$16,0)</f>
        <v>0.86648037461872818</v>
      </c>
      <c r="L22" s="210">
        <f>IFERROR('5. Logistic Cost (LC)'!K22/'Input-FX Rates'!$H$16,0)</f>
        <v>0</v>
      </c>
      <c r="M22" s="397">
        <f>IFERROR('5. Logistic Cost (LC)'!L22/'Input-FX Rates'!$H$16,0)</f>
        <v>-26.25787931034483</v>
      </c>
      <c r="N22" s="387">
        <f t="shared" si="0"/>
        <v>-1.3352524226496687E-2</v>
      </c>
      <c r="O22" s="908" t="str">
        <f>IF(ISBLANK('5. Logistic Cost (LC)'!N22),"",'5. Logistic Cost (LC)'!N22)</f>
        <v/>
      </c>
      <c r="Q22" s="219" t="s">
        <v>523</v>
      </c>
    </row>
    <row r="23" spans="1:17" ht="15" x14ac:dyDescent="0.25">
      <c r="A23" s="390" t="s">
        <v>536</v>
      </c>
      <c r="B23" s="210">
        <f>IFERROR('5. Logistic Cost (LC)'!B23/'Input-FX Rates'!$E$16,0)</f>
        <v>-47.821271411546903</v>
      </c>
      <c r="C23" s="208">
        <f>IFERROR('5. Logistic Cost (LC)'!C23/'Input-FX Rates'!$G$16,0)</f>
        <v>-92.94448807080957</v>
      </c>
      <c r="D23" s="208">
        <f>IFERROR('5. Logistic Cost (LC)'!D23/'Input-FX Rates'!$G$16,0)</f>
        <v>0</v>
      </c>
      <c r="E23" s="209">
        <f>IFERROR('5. Logistic Cost (LC)'!E23/'Input-FX Rates'!$G$16,0)</f>
        <v>-92.94448807080957</v>
      </c>
      <c r="F23" s="210">
        <f>IFERROR('5. Logistic Cost (LC)'!F23/'Input-FX Rates'!$G$16,0)</f>
        <v>4.5202605773135751</v>
      </c>
      <c r="G23" s="208">
        <f>IFERROR('5. Logistic Cost (LC)'!G23/'Input-FX Rates'!$G$16,0)</f>
        <v>0</v>
      </c>
      <c r="H23" s="208">
        <f>IFERROR('5. Logistic Cost (LC)'!H23/'Input-FX Rates'!$G$16,0)</f>
        <v>0</v>
      </c>
      <c r="I23" s="208">
        <f>IFERROR('5. Logistic Cost (LC)'!I23/'Input-FX Rates'!$G$16,0)</f>
        <v>0</v>
      </c>
      <c r="J23" s="208">
        <f>IFERROR('5. Logistic Cost (LC)'!J23/'Input-FX Rates'!$G$16,0)</f>
        <v>51.393622918434581</v>
      </c>
      <c r="K23" s="210">
        <f>IFERROR(M23-'5. Logistic Cost (LC)'!L23/'Input-FX Rates'!$G$16,0)</f>
        <v>1.1829327031946306</v>
      </c>
      <c r="L23" s="210">
        <f>IFERROR('5. Logistic Cost (LC)'!K23/'Input-FX Rates'!$H$16,0)</f>
        <v>0</v>
      </c>
      <c r="M23" s="397">
        <f>IFERROR('5. Logistic Cost (LC)'!L23/'Input-FX Rates'!$H$16,0)</f>
        <v>-35.847671871866787</v>
      </c>
      <c r="N23" s="387">
        <f t="shared" si="0"/>
        <v>-0.61431094392002772</v>
      </c>
      <c r="O23" s="908" t="str">
        <f>IF(ISBLANK('5. Logistic Cost (LC)'!N23),"",'5. Logistic Cost (LC)'!N23)</f>
        <v/>
      </c>
      <c r="Q23" s="219" t="s">
        <v>525</v>
      </c>
    </row>
    <row r="24" spans="1:17" ht="15.75" x14ac:dyDescent="0.25">
      <c r="A24" s="79" t="s">
        <v>526</v>
      </c>
      <c r="B24" s="675">
        <f>'5. Logistic Cost (LC)'!B24</f>
        <v>2</v>
      </c>
      <c r="C24" s="396">
        <f>'5. Logistic Cost (LC)'!C24</f>
        <v>2</v>
      </c>
      <c r="D24" s="396"/>
      <c r="E24" s="395">
        <f>'5. Logistic Cost (LC)'!E24</f>
        <v>2</v>
      </c>
      <c r="F24" s="394"/>
      <c r="G24" s="393"/>
      <c r="H24" s="393"/>
      <c r="I24" s="393"/>
      <c r="J24" s="393"/>
      <c r="K24" s="392"/>
      <c r="L24" s="392"/>
      <c r="M24" s="391">
        <f>'5. Logistic Cost (LC)'!L24</f>
        <v>2</v>
      </c>
      <c r="N24" s="380">
        <f>IFERROR(M24/C24-1,0)</f>
        <v>0</v>
      </c>
      <c r="O24" s="909" t="str">
        <f>IF(ISBLANK('5. Logistic Cost (LC)'!N24),"",'5. Logistic Cost (LC)'!N24)</f>
        <v/>
      </c>
      <c r="Q24" s="219" t="s">
        <v>527</v>
      </c>
    </row>
    <row r="25" spans="1:17" ht="15" x14ac:dyDescent="0.2">
      <c r="A25" s="390" t="s">
        <v>528</v>
      </c>
      <c r="B25" s="210">
        <f>'5. Logistic Cost (LC)'!B25</f>
        <v>2</v>
      </c>
      <c r="C25" s="208">
        <f>'5. Logistic Cost (LC)'!C25</f>
        <v>2</v>
      </c>
      <c r="D25" s="208"/>
      <c r="E25" s="209">
        <f>'5. Logistic Cost (LC)'!E25</f>
        <v>2</v>
      </c>
      <c r="F25" s="210"/>
      <c r="G25" s="208"/>
      <c r="H25" s="208"/>
      <c r="I25" s="208"/>
      <c r="J25" s="208"/>
      <c r="K25" s="210"/>
      <c r="L25" s="210"/>
      <c r="M25" s="397">
        <f>'5. Logistic Cost (LC)'!L25</f>
        <v>2</v>
      </c>
      <c r="N25" s="374">
        <f>IFERROR(M25/C25-1,0)</f>
        <v>0</v>
      </c>
      <c r="O25" s="908" t="str">
        <f>IF(ISBLANK('5. Logistic Cost (LC)'!N25),"",'5. Logistic Cost (LC)'!N25)</f>
        <v/>
      </c>
    </row>
    <row r="26" spans="1:17" ht="15" x14ac:dyDescent="0.2">
      <c r="A26" s="390" t="s">
        <v>529</v>
      </c>
      <c r="B26" s="210">
        <f>'5. Logistic Cost (LC)'!B26</f>
        <v>0</v>
      </c>
      <c r="C26" s="208">
        <f>'5. Logistic Cost (LC)'!C26</f>
        <v>0</v>
      </c>
      <c r="D26" s="208"/>
      <c r="E26" s="209">
        <f>'5. Logistic Cost (LC)'!E26</f>
        <v>0</v>
      </c>
      <c r="F26" s="210"/>
      <c r="G26" s="208"/>
      <c r="H26" s="208"/>
      <c r="I26" s="208"/>
      <c r="J26" s="208"/>
      <c r="K26" s="210"/>
      <c r="L26" s="210"/>
      <c r="M26" s="397">
        <f>'5. Logistic Cost (LC)'!L26</f>
        <v>0</v>
      </c>
      <c r="N26" s="374">
        <f>IFERROR(M26/C26-1,0)</f>
        <v>0</v>
      </c>
      <c r="O26" s="908" t="str">
        <f>IF(ISBLANK('5. Logistic Cost (LC)'!N26),"",'5. Logistic Cost (LC)'!N26)</f>
        <v/>
      </c>
      <c r="Q26" s="220" t="s">
        <v>530</v>
      </c>
    </row>
  </sheetData>
  <mergeCells count="3">
    <mergeCell ref="F4:K4"/>
    <mergeCell ref="L4:N4"/>
    <mergeCell ref="B4:E4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Normal="100" workbookViewId="0">
      <pane xSplit="2" ySplit="6" topLeftCell="K30" activePane="bottomRight" state="frozen"/>
      <selection pane="topRight" activeCell="H16" sqref="H16"/>
      <selection pane="bottomLeft" activeCell="H16" sqref="H16"/>
      <selection pane="bottomRight" activeCell="E40" sqref="E40"/>
    </sheetView>
  </sheetViews>
  <sheetFormatPr defaultColWidth="11.42578125" defaultRowHeight="15" x14ac:dyDescent="0.25"/>
  <cols>
    <col min="1" max="1" width="21.42578125" style="711" customWidth="1"/>
    <col min="2" max="2" width="43" style="711" customWidth="1"/>
    <col min="3" max="3" width="20.28515625" style="711" customWidth="1"/>
    <col min="4" max="5" width="16.7109375" style="711" customWidth="1"/>
    <col min="6" max="17" width="13.7109375" style="711" customWidth="1"/>
    <col min="18" max="18" width="44.7109375" style="711" customWidth="1"/>
    <col min="19" max="19" width="11.42578125" style="711"/>
    <col min="20" max="20" width="59.28515625" style="711" customWidth="1"/>
    <col min="21" max="16384" width="11.42578125" style="399"/>
  </cols>
  <sheetData>
    <row r="1" spans="1:20" s="407" customFormat="1" ht="18" x14ac:dyDescent="0.25">
      <c r="A1" s="60" t="str">
        <f>+'0. Instructions'!A1</f>
        <v>Budget 2024</v>
      </c>
      <c r="B1" s="411"/>
      <c r="C1" s="411"/>
      <c r="D1" s="411"/>
      <c r="E1" s="411"/>
      <c r="F1" s="411"/>
      <c r="G1" s="709"/>
      <c r="H1" s="410"/>
      <c r="I1" s="410"/>
      <c r="J1" s="410"/>
      <c r="K1" s="410"/>
      <c r="L1" s="410"/>
      <c r="M1" s="410"/>
      <c r="N1" s="409"/>
      <c r="O1" s="409"/>
      <c r="P1" s="408"/>
      <c r="Q1" s="408"/>
      <c r="R1" s="408" t="str">
        <f>'Input-FX Rates'!$H$1</f>
        <v>Plant ICH Icheon (242)</v>
      </c>
      <c r="S1" s="242"/>
      <c r="T1" s="389" t="s">
        <v>154</v>
      </c>
    </row>
    <row r="2" spans="1:20" s="407" customFormat="1" ht="18.75" thickBot="1" x14ac:dyDescent="0.3">
      <c r="A2" s="55" t="s">
        <v>537</v>
      </c>
      <c r="B2" s="217"/>
      <c r="C2" s="217"/>
      <c r="D2" s="217"/>
      <c r="E2" s="217"/>
      <c r="F2" s="217"/>
      <c r="G2" s="217"/>
      <c r="H2" s="217"/>
      <c r="I2" s="217"/>
      <c r="J2" s="54"/>
      <c r="K2" s="55"/>
      <c r="L2" s="217"/>
      <c r="M2" s="217"/>
      <c r="N2" s="217"/>
      <c r="O2" s="217"/>
      <c r="P2" s="388"/>
      <c r="Q2" s="388"/>
      <c r="R2" s="54" t="str">
        <f>'Input-FX Rates'!$H$2</f>
        <v>7521 &amp; 7522 PL Mechatronic Sensors (&amp; Electrification)</v>
      </c>
      <c r="S2" s="242"/>
      <c r="T2" s="95" t="s">
        <v>156</v>
      </c>
    </row>
    <row r="3" spans="1:20" s="407" customFormat="1" ht="12.75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20"/>
    </row>
    <row r="4" spans="1:20" s="407" customFormat="1" ht="12.75" x14ac:dyDescent="0.2">
      <c r="A4" s="242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s="406" customFormat="1" ht="31.5" x14ac:dyDescent="0.25">
      <c r="A5" s="186"/>
      <c r="B5" s="676" t="str">
        <f>"Inventory Details"&amp;" in '000 "&amp;'Input-FX Rates'!$B$8</f>
        <v>Inventory Details in '000 KRW</v>
      </c>
      <c r="C5" s="677" t="s">
        <v>538</v>
      </c>
      <c r="D5" s="187" t="s">
        <v>539</v>
      </c>
      <c r="E5" s="186" t="s">
        <v>540</v>
      </c>
      <c r="F5" s="186" t="s">
        <v>541</v>
      </c>
      <c r="G5" s="186" t="s">
        <v>542</v>
      </c>
      <c r="H5" s="186" t="s">
        <v>543</v>
      </c>
      <c r="I5" s="186" t="s">
        <v>544</v>
      </c>
      <c r="J5" s="186" t="s">
        <v>545</v>
      </c>
      <c r="K5" s="186" t="s">
        <v>546</v>
      </c>
      <c r="L5" s="186" t="s">
        <v>547</v>
      </c>
      <c r="M5" s="186" t="s">
        <v>548</v>
      </c>
      <c r="N5" s="186" t="s">
        <v>549</v>
      </c>
      <c r="O5" s="186" t="s">
        <v>550</v>
      </c>
      <c r="P5" s="187" t="s">
        <v>551</v>
      </c>
      <c r="Q5" s="187" t="s">
        <v>552</v>
      </c>
      <c r="R5" s="186" t="s">
        <v>208</v>
      </c>
      <c r="S5" s="710"/>
      <c r="T5" s="710"/>
    </row>
    <row r="6" spans="1:20" x14ac:dyDescent="0.25">
      <c r="B6" s="712"/>
      <c r="C6" s="713"/>
      <c r="D6" s="714"/>
      <c r="P6" s="714"/>
      <c r="Q6" s="714"/>
    </row>
    <row r="7" spans="1:20" ht="15.75" x14ac:dyDescent="0.25">
      <c r="A7" s="213" t="s">
        <v>553</v>
      </c>
      <c r="B7" s="679">
        <f>'P&amp;L'!I8</f>
        <v>20571529.809999999</v>
      </c>
      <c r="C7" s="678">
        <f>+'P&amp;L'!F8</f>
        <v>10156179.187999999</v>
      </c>
      <c r="D7" s="80">
        <f>+'P&amp;L'!H8</f>
        <v>21211769.708999999</v>
      </c>
      <c r="E7" s="405"/>
      <c r="F7" s="405"/>
      <c r="G7" s="405"/>
      <c r="H7" s="405"/>
      <c r="I7" s="405"/>
      <c r="J7" s="405"/>
      <c r="K7" s="405"/>
      <c r="L7" s="405"/>
      <c r="M7" s="405"/>
      <c r="N7" s="405"/>
      <c r="O7" s="405"/>
      <c r="P7" s="404"/>
      <c r="Q7" s="403"/>
      <c r="R7" s="213"/>
      <c r="T7" s="711" t="s">
        <v>554</v>
      </c>
    </row>
    <row r="8" spans="1:20" ht="15.75" x14ac:dyDescent="0.25">
      <c r="A8" s="213" t="s">
        <v>555</v>
      </c>
      <c r="B8" s="680"/>
      <c r="C8" s="678">
        <f t="shared" ref="C8:Q8" si="0">SUM(C9:C23)</f>
        <v>386462.07</v>
      </c>
      <c r="D8" s="80">
        <f t="shared" si="0"/>
        <v>376213.61</v>
      </c>
      <c r="E8" s="78">
        <f t="shared" si="0"/>
        <v>310350.94450429332</v>
      </c>
      <c r="F8" s="78">
        <f t="shared" si="0"/>
        <v>327981.37959468004</v>
      </c>
      <c r="G8" s="78">
        <f t="shared" si="0"/>
        <v>304574.97707301</v>
      </c>
      <c r="H8" s="78">
        <f t="shared" si="0"/>
        <v>285129.82359679666</v>
      </c>
      <c r="I8" s="78">
        <f t="shared" si="0"/>
        <v>279012.7327210767</v>
      </c>
      <c r="J8" s="78">
        <f t="shared" si="0"/>
        <v>265309.39974798867</v>
      </c>
      <c r="K8" s="78">
        <f t="shared" si="0"/>
        <v>246413.03782747657</v>
      </c>
      <c r="L8" s="78">
        <f t="shared" si="0"/>
        <v>239246.30254044617</v>
      </c>
      <c r="M8" s="78">
        <f t="shared" si="0"/>
        <v>222686.79360023822</v>
      </c>
      <c r="N8" s="78">
        <f t="shared" si="0"/>
        <v>223824.33969993889</v>
      </c>
      <c r="O8" s="78">
        <f t="shared" si="0"/>
        <v>205417.37518296274</v>
      </c>
      <c r="P8" s="78">
        <f t="shared" si="0"/>
        <v>189978.14514827268</v>
      </c>
      <c r="Q8" s="402">
        <f t="shared" si="0"/>
        <v>258327.10426976508</v>
      </c>
      <c r="R8" s="213"/>
      <c r="T8" s="711" t="s">
        <v>556</v>
      </c>
    </row>
    <row r="9" spans="1:20" x14ac:dyDescent="0.25">
      <c r="A9" s="1034" t="s">
        <v>557</v>
      </c>
      <c r="B9" s="712" t="s">
        <v>558</v>
      </c>
      <c r="C9" s="154">
        <v>386462.07</v>
      </c>
      <c r="D9" s="701">
        <v>131163.60999999999</v>
      </c>
      <c r="E9" s="715">
        <v>77553.444504293337</v>
      </c>
      <c r="F9" s="715">
        <v>113807.67959468</v>
      </c>
      <c r="G9" s="154">
        <v>107535.17307300998</v>
      </c>
      <c r="H9" s="154">
        <v>103853.20391679667</v>
      </c>
      <c r="I9" s="154">
        <v>112238.24261547666</v>
      </c>
      <c r="J9" s="154">
        <v>111876.86885083665</v>
      </c>
      <c r="K9" s="154">
        <v>105255.10940209668</v>
      </c>
      <c r="L9" s="154">
        <v>109381.00838909668</v>
      </c>
      <c r="M9" s="154">
        <v>103210.72298099667</v>
      </c>
      <c r="N9" s="154">
        <v>113906.35473023666</v>
      </c>
      <c r="O9" s="154">
        <v>104292.82901083669</v>
      </c>
      <c r="P9" s="701">
        <v>96943.562669916719</v>
      </c>
      <c r="Q9" s="716">
        <f>SUM(E9:P9)/12</f>
        <v>104987.84997818946</v>
      </c>
      <c r="R9" s="154"/>
    </row>
    <row r="10" spans="1:20" x14ac:dyDescent="0.25">
      <c r="A10" s="1034"/>
      <c r="B10" s="712" t="s">
        <v>559</v>
      </c>
      <c r="C10" s="154">
        <v>0</v>
      </c>
      <c r="D10" s="701">
        <v>0</v>
      </c>
      <c r="E10" s="715">
        <v>0</v>
      </c>
      <c r="F10" s="715">
        <v>0</v>
      </c>
      <c r="G10" s="154">
        <v>0</v>
      </c>
      <c r="H10" s="154">
        <v>0</v>
      </c>
      <c r="I10" s="154">
        <v>0</v>
      </c>
      <c r="J10" s="154">
        <v>0</v>
      </c>
      <c r="K10" s="154">
        <v>0</v>
      </c>
      <c r="L10" s="154">
        <v>0</v>
      </c>
      <c r="M10" s="154">
        <v>0</v>
      </c>
      <c r="N10" s="154">
        <v>0</v>
      </c>
      <c r="O10" s="154">
        <v>0</v>
      </c>
      <c r="P10" s="701">
        <v>0</v>
      </c>
      <c r="Q10" s="716">
        <f t="shared" ref="Q10:Q23" si="1">SUM(E10:P10)/12</f>
        <v>0</v>
      </c>
      <c r="R10" s="154"/>
    </row>
    <row r="11" spans="1:20" x14ac:dyDescent="0.25">
      <c r="A11" s="1034"/>
      <c r="B11" s="712" t="s">
        <v>560</v>
      </c>
      <c r="C11" s="154">
        <v>0</v>
      </c>
      <c r="D11" s="701">
        <v>0</v>
      </c>
      <c r="E11" s="715">
        <v>0</v>
      </c>
      <c r="F11" s="715">
        <v>0</v>
      </c>
      <c r="G11" s="154">
        <v>0</v>
      </c>
      <c r="H11" s="154">
        <v>0</v>
      </c>
      <c r="I11" s="154">
        <v>0</v>
      </c>
      <c r="J11" s="154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0</v>
      </c>
      <c r="P11" s="701">
        <v>0</v>
      </c>
      <c r="Q11" s="716">
        <f t="shared" si="1"/>
        <v>0</v>
      </c>
      <c r="R11" s="154"/>
    </row>
    <row r="12" spans="1:20" x14ac:dyDescent="0.25">
      <c r="A12" s="1034"/>
      <c r="B12" s="712" t="s">
        <v>561</v>
      </c>
      <c r="C12" s="154">
        <v>0</v>
      </c>
      <c r="D12" s="701">
        <v>0</v>
      </c>
      <c r="E12" s="715">
        <v>0</v>
      </c>
      <c r="F12" s="715">
        <v>0</v>
      </c>
      <c r="G12" s="154">
        <v>0</v>
      </c>
      <c r="H12" s="154">
        <v>0</v>
      </c>
      <c r="I12" s="154">
        <v>0</v>
      </c>
      <c r="J12" s="154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0</v>
      </c>
      <c r="P12" s="701">
        <v>0</v>
      </c>
      <c r="Q12" s="716">
        <f t="shared" si="1"/>
        <v>0</v>
      </c>
      <c r="R12" s="154"/>
    </row>
    <row r="13" spans="1:20" x14ac:dyDescent="0.25">
      <c r="A13" s="1034"/>
      <c r="B13" s="712" t="s">
        <v>562</v>
      </c>
      <c r="C13" s="154">
        <v>0</v>
      </c>
      <c r="D13" s="701">
        <v>0</v>
      </c>
      <c r="E13" s="715">
        <v>0</v>
      </c>
      <c r="F13" s="715">
        <v>0</v>
      </c>
      <c r="G13" s="154">
        <v>0</v>
      </c>
      <c r="H13" s="154">
        <v>0</v>
      </c>
      <c r="I13" s="154">
        <v>0</v>
      </c>
      <c r="J13" s="154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701">
        <v>0</v>
      </c>
      <c r="Q13" s="716">
        <f t="shared" si="1"/>
        <v>0</v>
      </c>
      <c r="R13" s="154"/>
    </row>
    <row r="14" spans="1:20" x14ac:dyDescent="0.25">
      <c r="A14" s="1033" t="s">
        <v>563</v>
      </c>
      <c r="B14" s="717" t="s">
        <v>564</v>
      </c>
      <c r="C14" s="154">
        <v>0</v>
      </c>
      <c r="D14" s="701">
        <v>0</v>
      </c>
      <c r="E14" s="715">
        <v>0</v>
      </c>
      <c r="F14" s="715">
        <v>0</v>
      </c>
      <c r="G14" s="154">
        <v>0</v>
      </c>
      <c r="H14" s="154">
        <v>0</v>
      </c>
      <c r="I14" s="154">
        <v>0</v>
      </c>
      <c r="J14" s="154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0</v>
      </c>
      <c r="P14" s="701">
        <v>0</v>
      </c>
      <c r="Q14" s="716">
        <f t="shared" si="1"/>
        <v>0</v>
      </c>
      <c r="R14" s="154"/>
    </row>
    <row r="15" spans="1:20" x14ac:dyDescent="0.25">
      <c r="A15" s="1033"/>
      <c r="B15" s="717" t="s">
        <v>565</v>
      </c>
      <c r="C15" s="154">
        <v>0</v>
      </c>
      <c r="D15" s="701">
        <v>0</v>
      </c>
      <c r="E15" s="715">
        <v>0</v>
      </c>
      <c r="F15" s="715">
        <v>0</v>
      </c>
      <c r="G15" s="154">
        <v>0</v>
      </c>
      <c r="H15" s="154">
        <v>0</v>
      </c>
      <c r="I15" s="154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701">
        <v>0</v>
      </c>
      <c r="Q15" s="716">
        <f t="shared" si="1"/>
        <v>0</v>
      </c>
      <c r="R15" s="154"/>
    </row>
    <row r="16" spans="1:20" x14ac:dyDescent="0.25">
      <c r="A16" s="1033"/>
      <c r="B16" s="717" t="s">
        <v>566</v>
      </c>
      <c r="C16" s="154">
        <v>0</v>
      </c>
      <c r="D16" s="701">
        <v>0</v>
      </c>
      <c r="E16" s="715">
        <v>0</v>
      </c>
      <c r="F16" s="715">
        <v>0</v>
      </c>
      <c r="G16" s="154">
        <v>0</v>
      </c>
      <c r="H16" s="154">
        <v>0</v>
      </c>
      <c r="I16" s="154">
        <v>0</v>
      </c>
      <c r="J16" s="154">
        <v>0</v>
      </c>
      <c r="K16" s="154">
        <v>0</v>
      </c>
      <c r="L16" s="154">
        <v>0</v>
      </c>
      <c r="M16" s="154">
        <v>0</v>
      </c>
      <c r="N16" s="154">
        <v>0</v>
      </c>
      <c r="O16" s="154">
        <v>0</v>
      </c>
      <c r="P16" s="701">
        <v>0</v>
      </c>
      <c r="Q16" s="716">
        <f t="shared" si="1"/>
        <v>0</v>
      </c>
      <c r="R16" s="154"/>
    </row>
    <row r="17" spans="1:18" x14ac:dyDescent="0.25">
      <c r="A17" s="1033"/>
      <c r="B17" s="717" t="s">
        <v>567</v>
      </c>
      <c r="C17" s="154">
        <v>0</v>
      </c>
      <c r="D17" s="701">
        <v>0</v>
      </c>
      <c r="E17" s="715">
        <v>0</v>
      </c>
      <c r="F17" s="715">
        <v>0</v>
      </c>
      <c r="G17" s="154">
        <v>0</v>
      </c>
      <c r="H17" s="154">
        <v>0</v>
      </c>
      <c r="I17" s="154">
        <v>0</v>
      </c>
      <c r="J17" s="154">
        <v>0</v>
      </c>
      <c r="K17" s="154">
        <v>0</v>
      </c>
      <c r="L17" s="154">
        <v>0</v>
      </c>
      <c r="M17" s="154">
        <v>0</v>
      </c>
      <c r="N17" s="154">
        <v>0</v>
      </c>
      <c r="O17" s="154">
        <v>0</v>
      </c>
      <c r="P17" s="701">
        <v>0</v>
      </c>
      <c r="Q17" s="716">
        <f t="shared" si="1"/>
        <v>0</v>
      </c>
      <c r="R17" s="154"/>
    </row>
    <row r="18" spans="1:18" x14ac:dyDescent="0.25">
      <c r="A18" s="1033"/>
      <c r="B18" s="717" t="s">
        <v>561</v>
      </c>
      <c r="C18" s="154">
        <v>0</v>
      </c>
      <c r="D18" s="701">
        <v>0</v>
      </c>
      <c r="E18" s="715">
        <v>0</v>
      </c>
      <c r="F18" s="715">
        <v>0</v>
      </c>
      <c r="G18" s="154">
        <v>0</v>
      </c>
      <c r="H18" s="154">
        <v>0</v>
      </c>
      <c r="I18" s="154">
        <v>0</v>
      </c>
      <c r="J18" s="154">
        <v>0</v>
      </c>
      <c r="K18" s="154">
        <v>0</v>
      </c>
      <c r="L18" s="154">
        <v>0</v>
      </c>
      <c r="M18" s="154">
        <v>0</v>
      </c>
      <c r="N18" s="154">
        <v>0</v>
      </c>
      <c r="O18" s="154">
        <v>0</v>
      </c>
      <c r="P18" s="701">
        <v>0</v>
      </c>
      <c r="Q18" s="716">
        <f t="shared" si="1"/>
        <v>0</v>
      </c>
      <c r="R18" s="154"/>
    </row>
    <row r="19" spans="1:18" x14ac:dyDescent="0.25">
      <c r="A19" s="1033"/>
      <c r="B19" s="717" t="s">
        <v>568</v>
      </c>
      <c r="C19" s="154">
        <v>0</v>
      </c>
      <c r="D19" s="701">
        <v>0</v>
      </c>
      <c r="E19" s="715">
        <v>0</v>
      </c>
      <c r="F19" s="715">
        <v>0</v>
      </c>
      <c r="G19" s="154">
        <v>0</v>
      </c>
      <c r="H19" s="154">
        <v>0</v>
      </c>
      <c r="I19" s="154">
        <v>0</v>
      </c>
      <c r="J19" s="154">
        <v>0</v>
      </c>
      <c r="K19" s="154">
        <v>0</v>
      </c>
      <c r="L19" s="154">
        <v>0</v>
      </c>
      <c r="M19" s="154">
        <v>0</v>
      </c>
      <c r="N19" s="154">
        <v>0</v>
      </c>
      <c r="O19" s="154">
        <v>0</v>
      </c>
      <c r="P19" s="701">
        <v>0</v>
      </c>
      <c r="Q19" s="716">
        <f t="shared" si="1"/>
        <v>0</v>
      </c>
      <c r="R19" s="154"/>
    </row>
    <row r="20" spans="1:18" x14ac:dyDescent="0.25">
      <c r="A20" s="1033"/>
      <c r="B20" s="718" t="s">
        <v>562</v>
      </c>
      <c r="C20" s="154">
        <v>0</v>
      </c>
      <c r="D20" s="701">
        <v>0</v>
      </c>
      <c r="E20" s="715">
        <v>0</v>
      </c>
      <c r="F20" s="715">
        <v>0</v>
      </c>
      <c r="G20" s="154">
        <v>0</v>
      </c>
      <c r="H20" s="154">
        <v>0</v>
      </c>
      <c r="I20" s="154">
        <v>0</v>
      </c>
      <c r="J20" s="154">
        <v>0</v>
      </c>
      <c r="K20" s="154">
        <v>0</v>
      </c>
      <c r="L20" s="154">
        <v>0</v>
      </c>
      <c r="M20" s="154">
        <v>0</v>
      </c>
      <c r="N20" s="154">
        <v>0</v>
      </c>
      <c r="O20" s="154">
        <v>0</v>
      </c>
      <c r="P20" s="701">
        <v>0</v>
      </c>
      <c r="Q20" s="716">
        <f t="shared" si="1"/>
        <v>0</v>
      </c>
      <c r="R20" s="154"/>
    </row>
    <row r="21" spans="1:18" x14ac:dyDescent="0.25">
      <c r="A21" s="1033"/>
      <c r="B21" s="718" t="s">
        <v>569</v>
      </c>
      <c r="C21" s="154">
        <v>0</v>
      </c>
      <c r="D21" s="701">
        <v>0</v>
      </c>
      <c r="E21" s="715">
        <v>0</v>
      </c>
      <c r="F21" s="715">
        <v>0</v>
      </c>
      <c r="G21" s="154">
        <v>0</v>
      </c>
      <c r="H21" s="154">
        <v>0</v>
      </c>
      <c r="I21" s="154">
        <v>0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0</v>
      </c>
      <c r="P21" s="701">
        <v>0</v>
      </c>
      <c r="Q21" s="716">
        <f t="shared" si="1"/>
        <v>0</v>
      </c>
      <c r="R21" s="154"/>
    </row>
    <row r="22" spans="1:18" x14ac:dyDescent="0.25">
      <c r="A22" s="1033"/>
      <c r="B22" s="718" t="s">
        <v>570</v>
      </c>
      <c r="C22" s="154">
        <v>0</v>
      </c>
      <c r="D22" s="701">
        <v>0</v>
      </c>
      <c r="E22" s="715">
        <v>0</v>
      </c>
      <c r="F22" s="715">
        <v>0</v>
      </c>
      <c r="G22" s="154">
        <v>0</v>
      </c>
      <c r="H22" s="154">
        <v>0</v>
      </c>
      <c r="I22" s="154">
        <v>0</v>
      </c>
      <c r="J22" s="154">
        <v>0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701">
        <v>0</v>
      </c>
      <c r="Q22" s="716">
        <f t="shared" si="1"/>
        <v>0</v>
      </c>
      <c r="R22" s="154"/>
    </row>
    <row r="23" spans="1:18" x14ac:dyDescent="0.25">
      <c r="A23" s="1033"/>
      <c r="B23" s="718" t="s">
        <v>571</v>
      </c>
      <c r="C23" s="154">
        <v>0</v>
      </c>
      <c r="D23" s="701">
        <v>245050</v>
      </c>
      <c r="E23" s="715">
        <v>232797.5</v>
      </c>
      <c r="F23" s="715">
        <v>214173.7</v>
      </c>
      <c r="G23" s="154">
        <v>197039.804</v>
      </c>
      <c r="H23" s="154">
        <v>181276.61968</v>
      </c>
      <c r="I23" s="154">
        <v>166774.49010560001</v>
      </c>
      <c r="J23" s="154">
        <v>153432.53089715203</v>
      </c>
      <c r="K23" s="154">
        <v>141157.92842537988</v>
      </c>
      <c r="L23" s="154">
        <v>129865.2941513495</v>
      </c>
      <c r="M23" s="154">
        <v>119476.07061924154</v>
      </c>
      <c r="N23" s="154">
        <v>109917.98496970223</v>
      </c>
      <c r="O23" s="154">
        <v>101124.54617212605</v>
      </c>
      <c r="P23" s="701">
        <v>93034.582478355966</v>
      </c>
      <c r="Q23" s="716">
        <f t="shared" si="1"/>
        <v>153339.25429157561</v>
      </c>
      <c r="R23" s="154"/>
    </row>
    <row r="24" spans="1:18" ht="15.75" x14ac:dyDescent="0.25">
      <c r="A24" s="213" t="s">
        <v>572</v>
      </c>
      <c r="B24" s="680"/>
      <c r="C24" s="678">
        <f t="shared" ref="C24:D24" si="2">SUM(C25:C31)</f>
        <v>16936.73</v>
      </c>
      <c r="D24" s="80">
        <f t="shared" si="2"/>
        <v>127311.83</v>
      </c>
      <c r="E24" s="78">
        <f>SUM(E25:E31)</f>
        <v>114211.18989893334</v>
      </c>
      <c r="F24" s="78">
        <f t="shared" ref="F24:P24" si="3">SUM(F25:F31)</f>
        <v>171318.10993960002</v>
      </c>
      <c r="G24" s="78">
        <f t="shared" si="3"/>
        <v>138933.60383466666</v>
      </c>
      <c r="H24" s="78">
        <f t="shared" si="3"/>
        <v>114212.07329306666</v>
      </c>
      <c r="I24" s="78">
        <f t="shared" si="3"/>
        <v>117280.12543173335</v>
      </c>
      <c r="J24" s="78">
        <f t="shared" si="3"/>
        <v>136195.89627366664</v>
      </c>
      <c r="K24" s="78">
        <f t="shared" si="3"/>
        <v>147870.83237999995</v>
      </c>
      <c r="L24" s="78">
        <f t="shared" si="3"/>
        <v>143971.4767296667</v>
      </c>
      <c r="M24" s="78">
        <f t="shared" si="3"/>
        <v>102724.41193093335</v>
      </c>
      <c r="N24" s="78">
        <f t="shared" si="3"/>
        <v>118290.59966080001</v>
      </c>
      <c r="O24" s="78">
        <f t="shared" si="3"/>
        <v>143968.90860566669</v>
      </c>
      <c r="P24" s="80">
        <f t="shared" si="3"/>
        <v>99610.05048879997</v>
      </c>
      <c r="Q24" s="80">
        <f>SUM(E24:P24)/12</f>
        <v>129048.93987229445</v>
      </c>
      <c r="R24" s="213"/>
    </row>
    <row r="25" spans="1:18" x14ac:dyDescent="0.25">
      <c r="A25" s="1034" t="s">
        <v>557</v>
      </c>
      <c r="B25" s="712" t="s">
        <v>573</v>
      </c>
      <c r="C25" s="154">
        <v>16936.73</v>
      </c>
      <c r="D25" s="701">
        <v>127311.83</v>
      </c>
      <c r="E25" s="715">
        <v>114211.18989893334</v>
      </c>
      <c r="F25" s="715">
        <v>171318.10993960002</v>
      </c>
      <c r="G25" s="154">
        <v>138933.60383466666</v>
      </c>
      <c r="H25" s="154">
        <v>114212.07329306666</v>
      </c>
      <c r="I25" s="154">
        <v>117280.12543173335</v>
      </c>
      <c r="J25" s="154">
        <v>136195.89627366664</v>
      </c>
      <c r="K25" s="154">
        <v>147870.83237999995</v>
      </c>
      <c r="L25" s="154">
        <v>143971.4767296667</v>
      </c>
      <c r="M25" s="154">
        <v>102724.41193093335</v>
      </c>
      <c r="N25" s="154">
        <v>118290.59966080001</v>
      </c>
      <c r="O25" s="154">
        <v>143968.90860566669</v>
      </c>
      <c r="P25" s="701">
        <v>99610.05048879997</v>
      </c>
      <c r="Q25" s="716">
        <f t="shared" ref="Q25:Q32" si="4">SUM(E25:P25)/12</f>
        <v>129048.93987229445</v>
      </c>
      <c r="R25" s="154"/>
    </row>
    <row r="26" spans="1:18" x14ac:dyDescent="0.25">
      <c r="A26" s="1034"/>
      <c r="B26" s="712" t="s">
        <v>561</v>
      </c>
      <c r="C26" s="154">
        <v>0</v>
      </c>
      <c r="D26" s="701">
        <v>0</v>
      </c>
      <c r="E26" s="715">
        <v>0</v>
      </c>
      <c r="F26" s="715">
        <v>0</v>
      </c>
      <c r="G26" s="154">
        <v>0</v>
      </c>
      <c r="H26" s="154">
        <v>0</v>
      </c>
      <c r="I26" s="154">
        <v>0</v>
      </c>
      <c r="J26" s="154">
        <v>0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701">
        <v>0</v>
      </c>
      <c r="Q26" s="716">
        <f t="shared" si="4"/>
        <v>0</v>
      </c>
      <c r="R26" s="154"/>
    </row>
    <row r="27" spans="1:18" x14ac:dyDescent="0.25">
      <c r="A27" s="1033" t="s">
        <v>563</v>
      </c>
      <c r="B27" s="717" t="s">
        <v>564</v>
      </c>
      <c r="C27" s="154">
        <v>0</v>
      </c>
      <c r="D27" s="701">
        <v>0</v>
      </c>
      <c r="E27" s="715">
        <v>0</v>
      </c>
      <c r="F27" s="715">
        <v>0</v>
      </c>
      <c r="G27" s="154">
        <v>0</v>
      </c>
      <c r="H27" s="154">
        <v>0</v>
      </c>
      <c r="I27" s="154">
        <v>0</v>
      </c>
      <c r="J27" s="154">
        <v>0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701">
        <v>0</v>
      </c>
      <c r="Q27" s="716">
        <f t="shared" si="4"/>
        <v>0</v>
      </c>
      <c r="R27" s="154"/>
    </row>
    <row r="28" spans="1:18" x14ac:dyDescent="0.25">
      <c r="A28" s="1033"/>
      <c r="B28" s="717" t="s">
        <v>567</v>
      </c>
      <c r="C28" s="154">
        <v>0</v>
      </c>
      <c r="D28" s="701">
        <v>0</v>
      </c>
      <c r="E28" s="715">
        <v>0</v>
      </c>
      <c r="F28" s="715">
        <v>0</v>
      </c>
      <c r="G28" s="154">
        <v>0</v>
      </c>
      <c r="H28" s="154">
        <v>0</v>
      </c>
      <c r="I28" s="154">
        <v>0</v>
      </c>
      <c r="J28" s="154">
        <v>0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701">
        <v>0</v>
      </c>
      <c r="Q28" s="716">
        <f t="shared" si="4"/>
        <v>0</v>
      </c>
      <c r="R28" s="154"/>
    </row>
    <row r="29" spans="1:18" x14ac:dyDescent="0.25">
      <c r="A29" s="1033"/>
      <c r="B29" s="717" t="s">
        <v>561</v>
      </c>
      <c r="C29" s="154">
        <v>0</v>
      </c>
      <c r="D29" s="701">
        <v>0</v>
      </c>
      <c r="E29" s="715">
        <v>0</v>
      </c>
      <c r="F29" s="715">
        <v>0</v>
      </c>
      <c r="G29" s="154">
        <v>0</v>
      </c>
      <c r="H29" s="154">
        <v>0</v>
      </c>
      <c r="I29" s="154">
        <v>0</v>
      </c>
      <c r="J29" s="154">
        <v>0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701">
        <v>0</v>
      </c>
      <c r="Q29" s="716">
        <f t="shared" si="4"/>
        <v>0</v>
      </c>
      <c r="R29" s="154"/>
    </row>
    <row r="30" spans="1:18" x14ac:dyDescent="0.25">
      <c r="A30" s="1033"/>
      <c r="B30" s="717" t="s">
        <v>569</v>
      </c>
      <c r="C30" s="154">
        <v>0</v>
      </c>
      <c r="D30" s="701">
        <v>0</v>
      </c>
      <c r="E30" s="715">
        <v>0</v>
      </c>
      <c r="F30" s="715">
        <v>0</v>
      </c>
      <c r="G30" s="154">
        <v>0</v>
      </c>
      <c r="H30" s="154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701">
        <v>0</v>
      </c>
      <c r="Q30" s="716">
        <f t="shared" si="4"/>
        <v>0</v>
      </c>
      <c r="R30" s="154"/>
    </row>
    <row r="31" spans="1:18" x14ac:dyDescent="0.25">
      <c r="A31" s="1033"/>
      <c r="B31" s="717" t="s">
        <v>570</v>
      </c>
      <c r="C31" s="154">
        <v>0</v>
      </c>
      <c r="D31" s="701">
        <v>0</v>
      </c>
      <c r="E31" s="715">
        <v>0</v>
      </c>
      <c r="F31" s="715">
        <v>0</v>
      </c>
      <c r="G31" s="154">
        <v>0</v>
      </c>
      <c r="H31" s="154">
        <v>0</v>
      </c>
      <c r="I31" s="154">
        <v>0</v>
      </c>
      <c r="J31" s="154">
        <v>0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701">
        <v>0</v>
      </c>
      <c r="Q31" s="716">
        <f t="shared" si="4"/>
        <v>0</v>
      </c>
      <c r="R31" s="154"/>
    </row>
    <row r="32" spans="1:18" ht="15.75" x14ac:dyDescent="0.25">
      <c r="A32" s="213" t="s">
        <v>574</v>
      </c>
      <c r="B32" s="680"/>
      <c r="C32" s="678">
        <f t="shared" ref="C32:D32" si="5">SUM(C33:C43)</f>
        <v>369093.72499999998</v>
      </c>
      <c r="D32" s="80">
        <f t="shared" si="5"/>
        <v>2912437</v>
      </c>
      <c r="E32" s="78">
        <f>SUM(E33:E43)</f>
        <v>2520849.8384666666</v>
      </c>
      <c r="F32" s="78">
        <f t="shared" ref="F32:P32" si="6">SUM(F33:F43)</f>
        <v>2461174.3513000002</v>
      </c>
      <c r="G32" s="78">
        <f t="shared" si="6"/>
        <v>2239089.2267333334</v>
      </c>
      <c r="H32" s="78">
        <f t="shared" si="6"/>
        <v>2031628.1023333333</v>
      </c>
      <c r="I32" s="78">
        <f t="shared" si="6"/>
        <v>1877200.5326666667</v>
      </c>
      <c r="J32" s="78">
        <f t="shared" si="6"/>
        <v>1753016.6999833332</v>
      </c>
      <c r="K32" s="78">
        <f t="shared" si="6"/>
        <v>1615014.4813999999</v>
      </c>
      <c r="L32" s="78">
        <f t="shared" si="6"/>
        <v>1447290.3309833333</v>
      </c>
      <c r="M32" s="78">
        <f t="shared" si="6"/>
        <v>1208291.9274666666</v>
      </c>
      <c r="N32" s="78">
        <f t="shared" si="6"/>
        <v>1077715.7614</v>
      </c>
      <c r="O32" s="78">
        <f t="shared" si="6"/>
        <v>1057492.7363833333</v>
      </c>
      <c r="P32" s="80">
        <f t="shared" si="6"/>
        <v>910162.85259999987</v>
      </c>
      <c r="Q32" s="80">
        <f t="shared" si="4"/>
        <v>1683243.9034763889</v>
      </c>
      <c r="R32" s="213"/>
    </row>
    <row r="33" spans="1:18" x14ac:dyDescent="0.25">
      <c r="A33" s="1034" t="s">
        <v>557</v>
      </c>
      <c r="B33" s="712" t="s">
        <v>575</v>
      </c>
      <c r="C33" s="154">
        <v>369093.72499999998</v>
      </c>
      <c r="D33" s="701">
        <v>712437</v>
      </c>
      <c r="E33" s="715">
        <v>235171.27846666664</v>
      </c>
      <c r="F33" s="715">
        <v>335778.42230000003</v>
      </c>
      <c r="G33" s="154">
        <v>273975.92973333329</v>
      </c>
      <c r="H33" s="154">
        <v>226797.43633333332</v>
      </c>
      <c r="I33" s="154">
        <v>232652.49766666666</v>
      </c>
      <c r="J33" s="154">
        <v>268751.2969833333</v>
      </c>
      <c r="K33" s="154">
        <v>291031.70939999988</v>
      </c>
      <c r="L33" s="154">
        <v>283590.19098333339</v>
      </c>
      <c r="M33" s="154">
        <v>204874.41846666666</v>
      </c>
      <c r="N33" s="154">
        <v>234580.88359999997</v>
      </c>
      <c r="O33" s="154">
        <v>283585.28998333338</v>
      </c>
      <c r="P33" s="701">
        <v>198930.98059999992</v>
      </c>
      <c r="Q33" s="716">
        <f t="shared" ref="Q33:Q46" si="7">SUM(E33:P33)/12</f>
        <v>255810.02787638886</v>
      </c>
      <c r="R33" s="154"/>
    </row>
    <row r="34" spans="1:18" x14ac:dyDescent="0.25">
      <c r="A34" s="1034"/>
      <c r="B34" s="712" t="s">
        <v>576</v>
      </c>
      <c r="C34" s="154">
        <v>0</v>
      </c>
      <c r="D34" s="701">
        <v>0</v>
      </c>
      <c r="E34" s="715">
        <v>0</v>
      </c>
      <c r="F34" s="715">
        <v>0</v>
      </c>
      <c r="G34" s="154">
        <v>0</v>
      </c>
      <c r="H34" s="154">
        <v>0</v>
      </c>
      <c r="I34" s="154">
        <v>0</v>
      </c>
      <c r="J34" s="154">
        <v>0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701">
        <v>0</v>
      </c>
      <c r="Q34" s="716">
        <f t="shared" si="7"/>
        <v>0</v>
      </c>
      <c r="R34" s="154"/>
    </row>
    <row r="35" spans="1:18" x14ac:dyDescent="0.25">
      <c r="A35" s="1034"/>
      <c r="B35" s="712" t="s">
        <v>561</v>
      </c>
      <c r="C35" s="154">
        <v>0</v>
      </c>
      <c r="D35" s="701">
        <v>0</v>
      </c>
      <c r="E35" s="715">
        <v>0</v>
      </c>
      <c r="F35" s="715">
        <v>0</v>
      </c>
      <c r="G35" s="154">
        <v>0</v>
      </c>
      <c r="H35" s="154">
        <v>0</v>
      </c>
      <c r="I35" s="154">
        <v>0</v>
      </c>
      <c r="J35" s="154">
        <v>0</v>
      </c>
      <c r="K35" s="154">
        <v>0</v>
      </c>
      <c r="L35" s="154">
        <v>0</v>
      </c>
      <c r="M35" s="154">
        <v>0</v>
      </c>
      <c r="N35" s="154">
        <v>0</v>
      </c>
      <c r="O35" s="154">
        <v>0</v>
      </c>
      <c r="P35" s="701">
        <v>0</v>
      </c>
      <c r="Q35" s="716">
        <f t="shared" si="7"/>
        <v>0</v>
      </c>
      <c r="R35" s="154"/>
    </row>
    <row r="36" spans="1:18" x14ac:dyDescent="0.25">
      <c r="A36" s="1034"/>
      <c r="B36" s="712" t="s">
        <v>562</v>
      </c>
      <c r="C36" s="154">
        <v>0</v>
      </c>
      <c r="D36" s="701">
        <v>0</v>
      </c>
      <c r="E36" s="715">
        <v>0</v>
      </c>
      <c r="F36" s="715">
        <v>0</v>
      </c>
      <c r="G36" s="154">
        <v>0</v>
      </c>
      <c r="H36" s="154">
        <v>0</v>
      </c>
      <c r="I36" s="154">
        <v>0</v>
      </c>
      <c r="J36" s="154">
        <v>0</v>
      </c>
      <c r="K36" s="154">
        <v>0</v>
      </c>
      <c r="L36" s="154">
        <v>0</v>
      </c>
      <c r="M36" s="154">
        <v>0</v>
      </c>
      <c r="N36" s="154">
        <v>0</v>
      </c>
      <c r="O36" s="154">
        <v>0</v>
      </c>
      <c r="P36" s="701">
        <v>0</v>
      </c>
      <c r="Q36" s="716">
        <f t="shared" si="7"/>
        <v>0</v>
      </c>
      <c r="R36" s="154"/>
    </row>
    <row r="37" spans="1:18" x14ac:dyDescent="0.25">
      <c r="A37" s="1033" t="s">
        <v>563</v>
      </c>
      <c r="B37" s="717" t="s">
        <v>564</v>
      </c>
      <c r="C37" s="154">
        <v>0</v>
      </c>
      <c r="D37" s="701">
        <v>0</v>
      </c>
      <c r="E37" s="715">
        <v>0</v>
      </c>
      <c r="F37" s="715">
        <v>0</v>
      </c>
      <c r="G37" s="154">
        <v>0</v>
      </c>
      <c r="H37" s="154">
        <v>0</v>
      </c>
      <c r="I37" s="154">
        <v>0</v>
      </c>
      <c r="J37" s="154">
        <v>0</v>
      </c>
      <c r="K37" s="154">
        <v>0</v>
      </c>
      <c r="L37" s="154">
        <v>0</v>
      </c>
      <c r="M37" s="154">
        <v>0</v>
      </c>
      <c r="N37" s="154">
        <v>0</v>
      </c>
      <c r="O37" s="154">
        <v>0</v>
      </c>
      <c r="P37" s="701">
        <v>0</v>
      </c>
      <c r="Q37" s="716">
        <f t="shared" si="7"/>
        <v>0</v>
      </c>
      <c r="R37" s="154"/>
    </row>
    <row r="38" spans="1:18" x14ac:dyDescent="0.25">
      <c r="A38" s="1033"/>
      <c r="B38" s="717" t="s">
        <v>567</v>
      </c>
      <c r="C38" s="154">
        <v>0</v>
      </c>
      <c r="D38" s="701">
        <v>0</v>
      </c>
      <c r="E38" s="715">
        <v>0</v>
      </c>
      <c r="F38" s="715">
        <v>0</v>
      </c>
      <c r="G38" s="154">
        <v>0</v>
      </c>
      <c r="H38" s="154">
        <v>0</v>
      </c>
      <c r="I38" s="154">
        <v>0</v>
      </c>
      <c r="J38" s="154">
        <v>0</v>
      </c>
      <c r="K38" s="154">
        <v>0</v>
      </c>
      <c r="L38" s="154">
        <v>0</v>
      </c>
      <c r="M38" s="154">
        <v>0</v>
      </c>
      <c r="N38" s="154">
        <v>0</v>
      </c>
      <c r="O38" s="154">
        <v>0</v>
      </c>
      <c r="P38" s="701">
        <v>0</v>
      </c>
      <c r="Q38" s="716">
        <f t="shared" si="7"/>
        <v>0</v>
      </c>
      <c r="R38" s="154"/>
    </row>
    <row r="39" spans="1:18" x14ac:dyDescent="0.25">
      <c r="A39" s="1033"/>
      <c r="B39" s="717" t="s">
        <v>561</v>
      </c>
      <c r="C39" s="154">
        <v>0</v>
      </c>
      <c r="D39" s="701">
        <v>0</v>
      </c>
      <c r="E39" s="715">
        <v>0</v>
      </c>
      <c r="F39" s="715">
        <v>0</v>
      </c>
      <c r="G39" s="154">
        <v>0</v>
      </c>
      <c r="H39" s="154">
        <v>0</v>
      </c>
      <c r="I39" s="154">
        <v>0</v>
      </c>
      <c r="J39" s="154">
        <v>0</v>
      </c>
      <c r="K39" s="154">
        <v>0</v>
      </c>
      <c r="L39" s="154">
        <v>0</v>
      </c>
      <c r="M39" s="154">
        <v>0</v>
      </c>
      <c r="N39" s="154">
        <v>0</v>
      </c>
      <c r="O39" s="154">
        <v>0</v>
      </c>
      <c r="P39" s="701">
        <v>0</v>
      </c>
      <c r="Q39" s="716">
        <f t="shared" si="7"/>
        <v>0</v>
      </c>
      <c r="R39" s="154"/>
    </row>
    <row r="40" spans="1:18" x14ac:dyDescent="0.25">
      <c r="A40" s="1033"/>
      <c r="B40" s="717" t="s">
        <v>577</v>
      </c>
      <c r="C40" s="154">
        <v>0</v>
      </c>
      <c r="D40" s="701">
        <v>2200000</v>
      </c>
      <c r="E40" s="715">
        <v>2285678.56</v>
      </c>
      <c r="F40" s="715">
        <v>2125395.929</v>
      </c>
      <c r="G40" s="154">
        <v>1965113.297</v>
      </c>
      <c r="H40" s="154">
        <v>1804830.666</v>
      </c>
      <c r="I40" s="154">
        <v>1644548.0349999999</v>
      </c>
      <c r="J40" s="154">
        <v>1484265.4029999999</v>
      </c>
      <c r="K40" s="154">
        <v>1323982.7720000001</v>
      </c>
      <c r="L40" s="154">
        <v>1163700.1399999999</v>
      </c>
      <c r="M40" s="154">
        <v>1003417.509</v>
      </c>
      <c r="N40" s="154">
        <v>843134.87780000002</v>
      </c>
      <c r="O40" s="154">
        <v>773907.44640000002</v>
      </c>
      <c r="P40" s="701">
        <v>711231.87199999997</v>
      </c>
      <c r="Q40" s="716">
        <f t="shared" si="7"/>
        <v>1427433.8756000001</v>
      </c>
      <c r="R40" s="154"/>
    </row>
    <row r="41" spans="1:18" x14ac:dyDescent="0.25">
      <c r="A41" s="1033"/>
      <c r="B41" s="717" t="s">
        <v>562</v>
      </c>
      <c r="C41" s="154">
        <v>0</v>
      </c>
      <c r="D41" s="701">
        <v>0</v>
      </c>
      <c r="E41" s="715">
        <v>0</v>
      </c>
      <c r="F41" s="715">
        <v>0</v>
      </c>
      <c r="G41" s="154">
        <v>0</v>
      </c>
      <c r="H41" s="154">
        <v>0</v>
      </c>
      <c r="I41" s="154">
        <v>0</v>
      </c>
      <c r="J41" s="154">
        <v>0</v>
      </c>
      <c r="K41" s="154">
        <v>0</v>
      </c>
      <c r="L41" s="154">
        <v>0</v>
      </c>
      <c r="M41" s="154">
        <v>0</v>
      </c>
      <c r="N41" s="154">
        <v>0</v>
      </c>
      <c r="O41" s="154">
        <v>0</v>
      </c>
      <c r="P41" s="701">
        <v>0</v>
      </c>
      <c r="Q41" s="716">
        <f t="shared" si="7"/>
        <v>0</v>
      </c>
      <c r="R41" s="154"/>
    </row>
    <row r="42" spans="1:18" x14ac:dyDescent="0.25">
      <c r="A42" s="1033"/>
      <c r="B42" s="717" t="s">
        <v>569</v>
      </c>
      <c r="C42" s="715">
        <v>0</v>
      </c>
      <c r="D42" s="701">
        <v>0</v>
      </c>
      <c r="E42" s="715">
        <v>0</v>
      </c>
      <c r="F42" s="715">
        <v>0</v>
      </c>
      <c r="G42" s="154">
        <v>0</v>
      </c>
      <c r="H42" s="154">
        <v>0</v>
      </c>
      <c r="I42" s="154">
        <v>0</v>
      </c>
      <c r="J42" s="154">
        <v>0</v>
      </c>
      <c r="K42" s="154">
        <v>0</v>
      </c>
      <c r="L42" s="154">
        <v>0</v>
      </c>
      <c r="M42" s="154">
        <v>0</v>
      </c>
      <c r="N42" s="154">
        <v>0</v>
      </c>
      <c r="O42" s="154">
        <v>0</v>
      </c>
      <c r="P42" s="701">
        <v>0</v>
      </c>
      <c r="Q42" s="716">
        <f t="shared" si="7"/>
        <v>0</v>
      </c>
      <c r="R42" s="154"/>
    </row>
    <row r="43" spans="1:18" x14ac:dyDescent="0.25">
      <c r="A43" s="1033"/>
      <c r="B43" s="717" t="s">
        <v>570</v>
      </c>
      <c r="C43" s="715">
        <v>0</v>
      </c>
      <c r="D43" s="701">
        <v>0</v>
      </c>
      <c r="E43" s="715">
        <v>0</v>
      </c>
      <c r="F43" s="715">
        <v>0</v>
      </c>
      <c r="G43" s="154">
        <v>0</v>
      </c>
      <c r="H43" s="154">
        <v>0</v>
      </c>
      <c r="I43" s="154">
        <v>0</v>
      </c>
      <c r="J43" s="154">
        <v>0</v>
      </c>
      <c r="K43" s="154">
        <v>0</v>
      </c>
      <c r="L43" s="154">
        <v>0</v>
      </c>
      <c r="M43" s="154">
        <v>0</v>
      </c>
      <c r="N43" s="154">
        <v>0</v>
      </c>
      <c r="O43" s="154">
        <v>0</v>
      </c>
      <c r="P43" s="701">
        <v>0</v>
      </c>
      <c r="Q43" s="716">
        <f t="shared" si="7"/>
        <v>0</v>
      </c>
      <c r="R43" s="154"/>
    </row>
    <row r="44" spans="1:18" ht="15.75" x14ac:dyDescent="0.25">
      <c r="A44" s="801" t="s">
        <v>578</v>
      </c>
      <c r="B44" s="892"/>
      <c r="C44" s="893"/>
      <c r="D44" s="894"/>
      <c r="E44" s="895"/>
      <c r="F44" s="895"/>
      <c r="G44" s="802"/>
      <c r="H44" s="802"/>
      <c r="I44" s="802"/>
      <c r="J44" s="802"/>
      <c r="K44" s="802"/>
      <c r="L44" s="802"/>
      <c r="M44" s="802"/>
      <c r="N44" s="802"/>
      <c r="O44" s="802"/>
      <c r="P44" s="896"/>
      <c r="Q44" s="897">
        <f t="shared" si="7"/>
        <v>0</v>
      </c>
      <c r="R44" s="802"/>
    </row>
    <row r="45" spans="1:18" ht="15.75" x14ac:dyDescent="0.25">
      <c r="A45" s="400" t="s">
        <v>579</v>
      </c>
      <c r="B45" s="890"/>
      <c r="C45" s="891"/>
      <c r="D45" s="358"/>
      <c r="E45" s="715"/>
      <c r="F45" s="715"/>
      <c r="G45" s="154"/>
      <c r="H45" s="154"/>
      <c r="I45" s="154"/>
      <c r="J45" s="154"/>
      <c r="K45" s="154"/>
      <c r="L45" s="154"/>
      <c r="M45" s="154"/>
      <c r="N45" s="154"/>
      <c r="O45" s="154"/>
      <c r="P45" s="701"/>
      <c r="Q45" s="887">
        <f t="shared" si="7"/>
        <v>0</v>
      </c>
      <c r="R45" s="154"/>
    </row>
    <row r="46" spans="1:18" ht="15.75" x14ac:dyDescent="0.25">
      <c r="A46" s="213" t="s">
        <v>580</v>
      </c>
      <c r="B46" s="680"/>
      <c r="C46" s="678">
        <f>KeyData!F8</f>
        <v>772492.52500000002</v>
      </c>
      <c r="D46" s="80">
        <f>+'7. BS-Key Figures (LC)'!E10</f>
        <v>3415962.44</v>
      </c>
      <c r="E46" s="78">
        <f>+'7. BS-Key Figures (LC)'!F10</f>
        <v>2945412.1349999998</v>
      </c>
      <c r="F46" s="78">
        <f>+'7. BS-Key Figures (LC)'!G10</f>
        <v>2960473.4899999998</v>
      </c>
      <c r="G46" s="78">
        <f>+'7. BS-Key Figures (LC)'!H10</f>
        <v>2682597.5809999998</v>
      </c>
      <c r="H46" s="78">
        <f>+'7. BS-Key Figures (LC)'!I10</f>
        <v>2430969.8969999999</v>
      </c>
      <c r="I46" s="78">
        <f>+'7. BS-Key Figures (LC)'!J10</f>
        <v>2273493.858</v>
      </c>
      <c r="J46" s="78">
        <f>+'7. BS-Key Figures (LC)'!K10</f>
        <v>2154522.2960000001</v>
      </c>
      <c r="K46" s="78">
        <f>+'7. BS-Key Figures (LC)'!L10</f>
        <v>2009297.87</v>
      </c>
      <c r="L46" s="78">
        <f>+'7. BS-Key Figures (LC)'!M10</f>
        <v>1830507.78</v>
      </c>
      <c r="M46" s="78">
        <f>+'7. BS-Key Figures (LC)'!N10</f>
        <v>1533703.206</v>
      </c>
      <c r="N46" s="78">
        <f>+'7. BS-Key Figures (LC)'!O10</f>
        <v>1419830.94</v>
      </c>
      <c r="O46" s="78">
        <f>+'7. BS-Key Figures (LC)'!P10</f>
        <v>1406879.284</v>
      </c>
      <c r="P46" s="80">
        <f>+'7. BS-Key Figures (LC)'!Q10</f>
        <v>1199751.1950000001</v>
      </c>
      <c r="Q46" s="80">
        <f t="shared" si="7"/>
        <v>2070619.9610000004</v>
      </c>
      <c r="R46" s="213"/>
    </row>
    <row r="47" spans="1:18" ht="15.75" x14ac:dyDescent="0.25">
      <c r="A47" s="213" t="s">
        <v>581</v>
      </c>
      <c r="B47" s="680"/>
      <c r="C47" s="405"/>
      <c r="D47" s="401">
        <f>IFERROR((D7/D46),0)</f>
        <v>6.2096027346834646</v>
      </c>
      <c r="E47" s="258">
        <f>IFERROR(($B$7/E46),0)</f>
        <v>6.9842619189181825</v>
      </c>
      <c r="F47" s="258">
        <f t="shared" ref="F47:P47" si="8">IFERROR(($B$7/F46),0)</f>
        <v>6.9487296135186805</v>
      </c>
      <c r="G47" s="258">
        <f t="shared" si="8"/>
        <v>7.6685112801494029</v>
      </c>
      <c r="H47" s="258">
        <f t="shared" si="8"/>
        <v>8.4622725420774714</v>
      </c>
      <c r="I47" s="258">
        <f t="shared" si="8"/>
        <v>9.0484211064008946</v>
      </c>
      <c r="J47" s="258">
        <f t="shared" si="8"/>
        <v>9.5480700516268868</v>
      </c>
      <c r="K47" s="258">
        <f t="shared" si="8"/>
        <v>10.238168325933675</v>
      </c>
      <c r="L47" s="258">
        <f t="shared" si="8"/>
        <v>11.238154808607259</v>
      </c>
      <c r="M47" s="258">
        <f t="shared" si="8"/>
        <v>13.41297959704467</v>
      </c>
      <c r="N47" s="258">
        <f t="shared" si="8"/>
        <v>14.488717797627372</v>
      </c>
      <c r="O47" s="258">
        <f t="shared" si="8"/>
        <v>14.622100164494283</v>
      </c>
      <c r="P47" s="401">
        <f t="shared" si="8"/>
        <v>17.146496620076295</v>
      </c>
      <c r="Q47" s="401">
        <f>IFERROR(($B$7/Q46),0)</f>
        <v>9.9349616044776425</v>
      </c>
      <c r="R47" s="213" t="s">
        <v>582</v>
      </c>
    </row>
    <row r="49" spans="2:17" x14ac:dyDescent="0.25">
      <c r="B49" s="711" t="s">
        <v>583</v>
      </c>
      <c r="C49" s="96">
        <f t="shared" ref="C49:P49" si="9">+C46-C32-C24-C8</f>
        <v>0</v>
      </c>
      <c r="D49" s="96">
        <f t="shared" si="9"/>
        <v>0</v>
      </c>
      <c r="E49" s="96">
        <f t="shared" si="9"/>
        <v>0.16213010647334158</v>
      </c>
      <c r="F49" s="96">
        <f>+F46-F32-F24-F8</f>
        <v>-0.35083428048528731</v>
      </c>
      <c r="G49" s="96">
        <f t="shared" si="9"/>
        <v>-0.2266410103184171</v>
      </c>
      <c r="H49" s="96">
        <f t="shared" si="9"/>
        <v>-0.10222319676540792</v>
      </c>
      <c r="I49" s="96">
        <f t="shared" si="9"/>
        <v>0.46718052332289517</v>
      </c>
      <c r="J49" s="96">
        <f t="shared" si="9"/>
        <v>0.29999501153361052</v>
      </c>
      <c r="K49" s="96">
        <f t="shared" si="9"/>
        <v>-0.48160747633664869</v>
      </c>
      <c r="L49" s="96">
        <f t="shared" si="9"/>
        <v>-0.3302534461254254</v>
      </c>
      <c r="M49" s="96">
        <f t="shared" si="9"/>
        <v>7.3002161865588278E-2</v>
      </c>
      <c r="N49" s="96">
        <f t="shared" si="9"/>
        <v>0.23923926107818261</v>
      </c>
      <c r="O49" s="96">
        <f t="shared" si="9"/>
        <v>0.26382803721935488</v>
      </c>
      <c r="P49" s="96">
        <f t="shared" si="9"/>
        <v>0.14676292752847075</v>
      </c>
      <c r="Q49" s="96"/>
    </row>
    <row r="51" spans="2:17" x14ac:dyDescent="0.25">
      <c r="B51" s="711" t="s">
        <v>584</v>
      </c>
      <c r="C51" s="96">
        <f>KeyData!F9-C8</f>
        <v>0</v>
      </c>
      <c r="D51" s="96">
        <f>KeyData!G9-D8</f>
        <v>0</v>
      </c>
      <c r="E51" s="96">
        <f>KeyData_seasonal!D9-E8</f>
        <v>4.9570668488740921E-4</v>
      </c>
      <c r="F51" s="96">
        <f>KeyData_seasonal!E9-F8</f>
        <v>4.0531996637582779E-4</v>
      </c>
      <c r="G51" s="96">
        <f>KeyData_seasonal!F9-G8</f>
        <v>-7.3009985499083996E-5</v>
      </c>
      <c r="H51" s="96">
        <f>KeyData_seasonal!G9-H8</f>
        <v>4.0320336120203137E-4</v>
      </c>
      <c r="I51" s="96">
        <f>KeyData_seasonal!H9-I8</f>
        <v>2.7892331127077341E-4</v>
      </c>
      <c r="J51" s="96">
        <f>KeyData_seasonal!I9-J8</f>
        <v>2.5201134849339724E-4</v>
      </c>
      <c r="K51" s="96">
        <f>KeyData_seasonal!J9-K8</f>
        <v>1.7252346151508391E-4</v>
      </c>
      <c r="L51" s="96">
        <f>KeyData_seasonal!K9-L8</f>
        <v>4.5955387759022415E-4</v>
      </c>
      <c r="M51" s="96">
        <f>KeyData_seasonal!L9-M8</f>
        <v>3.9976183325052261E-4</v>
      </c>
      <c r="N51" s="96">
        <f>KeyData_seasonal!M9-N8</f>
        <v>3.0006116139702499E-4</v>
      </c>
      <c r="O51" s="96">
        <f>KeyData_seasonal!N9-O8</f>
        <v>-1.8296268535777926E-4</v>
      </c>
      <c r="P51" s="96">
        <f>KeyData_seasonal!O9-P8</f>
        <v>-1.4827263657934964E-4</v>
      </c>
    </row>
    <row r="52" spans="2:17" x14ac:dyDescent="0.25">
      <c r="B52" s="711" t="s">
        <v>585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1.0106666013598442E-4</v>
      </c>
      <c r="F52" s="96">
        <f>(KeyData_seasonal!E10+KeyData_seasonal!E11)-F24</f>
        <v>6.0399965150281787E-5</v>
      </c>
      <c r="G52" s="96">
        <f>(KeyData_seasonal!F10+KeyData_seasonal!F11)-G24</f>
        <v>1.6533333109691739E-4</v>
      </c>
      <c r="H52" s="96">
        <f>(KeyData_seasonal!G10+KeyData_seasonal!G11)-H24</f>
        <v>-2.9306666692718863E-4</v>
      </c>
      <c r="I52" s="96">
        <f>(KeyData_seasonal!H10+KeyData_seasonal!H11)-I24</f>
        <v>-4.3173336598556489E-4</v>
      </c>
      <c r="J52" s="96">
        <f>(KeyData_seasonal!I10+KeyData_seasonal!I11)-J24</f>
        <v>-2.7366666472516954E-4</v>
      </c>
      <c r="K52" s="96">
        <f>(KeyData_seasonal!J10+KeyData_seasonal!J11)-K24</f>
        <v>-3.7999998312443495E-4</v>
      </c>
      <c r="L52" s="96">
        <f>(KeyData_seasonal!K10+KeyData_seasonal!K11)-L24</f>
        <v>2.7033325750380754E-4</v>
      </c>
      <c r="M52" s="96">
        <f>(KeyData_seasonal!L10+KeyData_seasonal!L11)-M24</f>
        <v>6.9066605647094548E-5</v>
      </c>
      <c r="N52" s="96">
        <f>(KeyData_seasonal!M10+KeyData_seasonal!M11)-N24</f>
        <v>3.3919993438757956E-4</v>
      </c>
      <c r="O52" s="96">
        <f>(KeyData_seasonal!N10+KeyData_seasonal!N11)-O24</f>
        <v>3.9433327037841082E-4</v>
      </c>
      <c r="P52" s="96">
        <f>(KeyData_seasonal!O10+KeyData_seasonal!O11)-P24</f>
        <v>-4.8880001122597605E-4</v>
      </c>
    </row>
    <row r="53" spans="2:17" x14ac:dyDescent="0.25">
      <c r="B53" s="711" t="s">
        <v>586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0.16153333336114883</v>
      </c>
      <c r="F53" s="96">
        <f>KeyData_seasonal!E12-F32</f>
        <v>-0.35130000021308661</v>
      </c>
      <c r="G53" s="96">
        <f>KeyData_seasonal!F12-G32</f>
        <v>-0.22673333343118429</v>
      </c>
      <c r="H53" s="96">
        <f>KeyData_seasonal!G12-H32</f>
        <v>-0.10233333334326744</v>
      </c>
      <c r="I53" s="96">
        <f>KeyData_seasonal!H12-I32</f>
        <v>0.46733333333395422</v>
      </c>
      <c r="J53" s="96">
        <f>KeyData_seasonal!I12-J32</f>
        <v>0.3000166667625308</v>
      </c>
      <c r="K53" s="96">
        <f>KeyData_seasonal!J12-K32</f>
        <v>-0.48139999993145466</v>
      </c>
      <c r="L53" s="96">
        <f>KeyData_seasonal!K12-L32</f>
        <v>-0.33098333328962326</v>
      </c>
      <c r="M53" s="96">
        <f>KeyData_seasonal!L12-M32</f>
        <v>7.2533333441242576E-2</v>
      </c>
      <c r="N53" s="96">
        <f>KeyData_seasonal!M12-N32</f>
        <v>0.23860000004060566</v>
      </c>
      <c r="O53" s="96">
        <f>KeyData_seasonal!N12-O32</f>
        <v>0.26361666666343808</v>
      </c>
      <c r="P53" s="96">
        <f>KeyData_seasonal!O12-P32</f>
        <v>0.14740000013262033</v>
      </c>
    </row>
  </sheetData>
  <mergeCells count="6">
    <mergeCell ref="A14:A23"/>
    <mergeCell ref="A9:A13"/>
    <mergeCell ref="A27:A31"/>
    <mergeCell ref="A25:A26"/>
    <mergeCell ref="A37:A43"/>
    <mergeCell ref="A33:A36"/>
  </mergeCells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85" zoomScaleNormal="85" workbookViewId="0">
      <pane xSplit="2" ySplit="6" topLeftCell="C12" activePane="bottomRight" state="frozen"/>
      <selection pane="topRight" activeCell="H16" sqref="H16"/>
      <selection pane="bottomLeft" activeCell="H16" sqref="H16"/>
      <selection pane="bottomRight" activeCell="I39" sqref="I39"/>
    </sheetView>
  </sheetViews>
  <sheetFormatPr defaultColWidth="11.42578125" defaultRowHeight="15" x14ac:dyDescent="0.25"/>
  <cols>
    <col min="1" max="1" width="21.42578125" style="711" customWidth="1"/>
    <col min="2" max="2" width="43" style="711" customWidth="1"/>
    <col min="3" max="3" width="13.7109375" style="711" bestFit="1" customWidth="1"/>
    <col min="4" max="6" width="16.7109375" style="711" customWidth="1"/>
    <col min="7" max="13" width="13.5703125" style="711" bestFit="1" customWidth="1"/>
    <col min="14" max="17" width="13.42578125" style="711" bestFit="1" customWidth="1"/>
    <col min="18" max="18" width="11.7109375" style="711" customWidth="1"/>
    <col min="19" max="19" width="26.28515625" style="711" customWidth="1"/>
    <col min="20" max="20" width="4.28515625" style="711" customWidth="1"/>
    <col min="21" max="21" width="59.28515625" style="711" customWidth="1"/>
    <col min="22" max="16384" width="11.42578125" style="399"/>
  </cols>
  <sheetData>
    <row r="1" spans="1:21" s="407" customFormat="1" ht="18" x14ac:dyDescent="0.25">
      <c r="A1" s="60" t="str">
        <f>+'0. Instructions'!A1</f>
        <v>Budget 2024</v>
      </c>
      <c r="B1" s="411"/>
      <c r="C1" s="411"/>
      <c r="D1" s="411"/>
      <c r="E1" s="411"/>
      <c r="F1" s="411"/>
      <c r="G1" s="411"/>
      <c r="H1" s="410"/>
      <c r="I1" s="410"/>
      <c r="J1" s="410"/>
      <c r="K1" s="410"/>
      <c r="L1" s="410"/>
      <c r="M1" s="410"/>
      <c r="N1" s="410"/>
      <c r="O1" s="409"/>
      <c r="P1" s="409"/>
      <c r="Q1" s="408"/>
      <c r="R1" s="408"/>
      <c r="S1" s="408" t="str">
        <f>'Input-FX Rates'!$H$1</f>
        <v>Plant ICH Icheon (242)</v>
      </c>
      <c r="T1" s="242"/>
      <c r="U1" s="389" t="s">
        <v>154</v>
      </c>
    </row>
    <row r="2" spans="1:21" s="407" customFormat="1" ht="18.75" thickBot="1" x14ac:dyDescent="0.3">
      <c r="A2" s="55" t="s">
        <v>537</v>
      </c>
      <c r="B2" s="217"/>
      <c r="C2" s="217"/>
      <c r="D2" s="217"/>
      <c r="E2" s="217"/>
      <c r="F2" s="217"/>
      <c r="G2" s="217"/>
      <c r="H2" s="217"/>
      <c r="I2" s="217"/>
      <c r="J2" s="217"/>
      <c r="K2" s="54"/>
      <c r="L2" s="55"/>
      <c r="M2" s="217"/>
      <c r="N2" s="217"/>
      <c r="O2" s="217"/>
      <c r="P2" s="217"/>
      <c r="Q2" s="388"/>
      <c r="R2" s="388"/>
      <c r="S2" s="54" t="str">
        <f>'Input-FX Rates'!$H$2</f>
        <v>7521 &amp; 7522 PL Mechatronic Sensors (&amp; Electrification)</v>
      </c>
      <c r="T2" s="242"/>
      <c r="U2" s="95" t="s">
        <v>156</v>
      </c>
    </row>
    <row r="3" spans="1:21" s="407" customFormat="1" ht="12.75" x14ac:dyDescent="0.2">
      <c r="A3" s="242"/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20"/>
    </row>
    <row r="4" spans="1:21" s="407" customFormat="1" ht="15.75" x14ac:dyDescent="0.25">
      <c r="A4" s="242"/>
      <c r="B4" s="242"/>
      <c r="C4" s="242"/>
      <c r="D4" s="804" t="s">
        <v>587</v>
      </c>
      <c r="E4" s="804" t="s">
        <v>588</v>
      </c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</row>
    <row r="5" spans="1:21" s="406" customFormat="1" ht="31.5" x14ac:dyDescent="0.25">
      <c r="A5" s="186"/>
      <c r="B5" s="187" t="str">
        <f>"Inventory Details"&amp;" in '000 "&amp;"in EUR"</f>
        <v>Inventory Details in '000 in EUR</v>
      </c>
      <c r="C5" s="677" t="s">
        <v>538</v>
      </c>
      <c r="D5" s="186" t="s">
        <v>589</v>
      </c>
      <c r="E5" s="186" t="s">
        <v>589</v>
      </c>
      <c r="F5" s="646" t="s">
        <v>540</v>
      </c>
      <c r="G5" s="186" t="s">
        <v>541</v>
      </c>
      <c r="H5" s="186" t="s">
        <v>542</v>
      </c>
      <c r="I5" s="186" t="s">
        <v>543</v>
      </c>
      <c r="J5" s="186" t="s">
        <v>544</v>
      </c>
      <c r="K5" s="186" t="s">
        <v>545</v>
      </c>
      <c r="L5" s="186" t="s">
        <v>546</v>
      </c>
      <c r="M5" s="186" t="s">
        <v>547</v>
      </c>
      <c r="N5" s="186" t="s">
        <v>548</v>
      </c>
      <c r="O5" s="186" t="s">
        <v>549</v>
      </c>
      <c r="P5" s="186" t="s">
        <v>550</v>
      </c>
      <c r="Q5" s="187" t="s">
        <v>551</v>
      </c>
      <c r="R5" s="187" t="s">
        <v>552</v>
      </c>
      <c r="S5" s="186" t="s">
        <v>208</v>
      </c>
      <c r="T5" s="710"/>
      <c r="U5" s="710"/>
    </row>
    <row r="6" spans="1:21" x14ac:dyDescent="0.25">
      <c r="B6" s="714"/>
      <c r="C6" s="722"/>
      <c r="D6" s="810"/>
      <c r="F6" s="805"/>
      <c r="Q6" s="714"/>
      <c r="R6" s="714"/>
    </row>
    <row r="7" spans="1:21" ht="15.75" x14ac:dyDescent="0.25">
      <c r="A7" s="213" t="s">
        <v>553</v>
      </c>
      <c r="B7" s="80">
        <f>+'5.1 Inventory (LC)'!B7/'Input-FX Rates'!H16</f>
        <v>14187.261937931033</v>
      </c>
      <c r="C7" s="78">
        <f>+'5.1 Inventory (LC)'!C7/'Input-FX Rates'!$E$13</f>
        <v>7099.889678217648</v>
      </c>
      <c r="D7" s="78">
        <f>+'5.1 Inventory (LC)'!D7/'Input-FX Rates'!$G$16</f>
        <v>15111.540802308424</v>
      </c>
      <c r="E7" s="78"/>
      <c r="F7" s="806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00" t="str">
        <f>IF(ISBLANK('5.1 Inventory (LC)'!R7),"",'5.1 Inventory (LC)'!R7)</f>
        <v/>
      </c>
      <c r="U7" s="711" t="s">
        <v>554</v>
      </c>
    </row>
    <row r="8" spans="1:21" ht="15.75" x14ac:dyDescent="0.25">
      <c r="A8" s="213" t="s">
        <v>555</v>
      </c>
      <c r="B8" s="214"/>
      <c r="C8" s="78">
        <f>+'5.1 Inventory (LC)'!C8/'Input-FX Rates'!$E$13</f>
        <v>270.16440051171992</v>
      </c>
      <c r="D8" s="78">
        <f>+'5.1 Inventory (LC)'!D8/'Input-FX Rates'!$G$13</f>
        <v>264.41777481023337</v>
      </c>
      <c r="E8" s="78">
        <f>+'5.1 Inventory (LC)'!D8/'Input-FX Rates'!$H$13</f>
        <v>259.45766206896553</v>
      </c>
      <c r="F8" s="806">
        <f t="shared" ref="F8:Q8" si="0">SUM(F9:F23)</f>
        <v>214.03513414089196</v>
      </c>
      <c r="G8" s="78">
        <f t="shared" si="0"/>
        <v>226.19405489288278</v>
      </c>
      <c r="H8" s="78">
        <f t="shared" si="0"/>
        <v>210.05170832621377</v>
      </c>
      <c r="I8" s="78">
        <f t="shared" si="0"/>
        <v>196.64125765296322</v>
      </c>
      <c r="J8" s="78">
        <f t="shared" si="0"/>
        <v>192.4225742903977</v>
      </c>
      <c r="K8" s="78">
        <f t="shared" si="0"/>
        <v>182.97199982619907</v>
      </c>
      <c r="L8" s="78">
        <f t="shared" si="0"/>
        <v>169.94002608791487</v>
      </c>
      <c r="M8" s="78">
        <f t="shared" si="0"/>
        <v>164.99745002789393</v>
      </c>
      <c r="N8" s="78">
        <f t="shared" si="0"/>
        <v>153.57709903464703</v>
      </c>
      <c r="O8" s="78">
        <f t="shared" si="0"/>
        <v>154.36161358616476</v>
      </c>
      <c r="P8" s="78">
        <f t="shared" si="0"/>
        <v>141.66715529859499</v>
      </c>
      <c r="Q8" s="80">
        <f t="shared" si="0"/>
        <v>131.01941044708462</v>
      </c>
      <c r="R8" s="80">
        <f>SUM(F8:Q8)/12</f>
        <v>178.15662363432071</v>
      </c>
      <c r="S8" s="400" t="str">
        <f>IF(ISBLANK('5.1 Inventory (LC)'!R8),"",'5.1 Inventory (LC)'!R8)</f>
        <v/>
      </c>
      <c r="U8" s="711" t="s">
        <v>556</v>
      </c>
    </row>
    <row r="9" spans="1:21" x14ac:dyDescent="0.25">
      <c r="A9" s="1034" t="s">
        <v>557</v>
      </c>
      <c r="B9" s="712" t="s">
        <v>558</v>
      </c>
      <c r="C9" s="332">
        <f>+'5.1 Inventory (LC)'!C9/'Input-FX Rates'!$E$13</f>
        <v>270.16440051171992</v>
      </c>
      <c r="D9" s="222">
        <f>+'5.1 Inventory (LC)'!D9/'Input-FX Rates'!$G$13</f>
        <v>92.186962327804324</v>
      </c>
      <c r="E9" s="222">
        <f>+'5.1 Inventory (LC)'!D9/'Input-FX Rates'!$H$13</f>
        <v>90.457662068965504</v>
      </c>
      <c r="F9" s="807">
        <f>+'5.1 Inventory (LC)'!E9/'Input-FX Rates'!$H$13</f>
        <v>53.485134140891958</v>
      </c>
      <c r="G9" s="719">
        <f>+'5.1 Inventory (LC)'!F9/'Input-FX Rates'!$H$13</f>
        <v>78.488054892882758</v>
      </c>
      <c r="H9" s="720">
        <f>+'5.1 Inventory (LC)'!G9/'Input-FX Rates'!$H$13</f>
        <v>74.16218832621378</v>
      </c>
      <c r="I9" s="720">
        <f>+'5.1 Inventory (LC)'!H9/'Input-FX Rates'!$H$13</f>
        <v>71.622899252963222</v>
      </c>
      <c r="J9" s="720">
        <f>+'5.1 Inventory (LC)'!I9/'Input-FX Rates'!$H$13</f>
        <v>77.405684562397695</v>
      </c>
      <c r="K9" s="720">
        <f>+'5.1 Inventory (LC)'!J9/'Input-FX Rates'!$H$13</f>
        <v>77.15646127643906</v>
      </c>
      <c r="L9" s="720">
        <f>+'5.1 Inventory (LC)'!K9/'Input-FX Rates'!$H$13</f>
        <v>72.589730622135647</v>
      </c>
      <c r="M9" s="720">
        <f>+'5.1 Inventory (LC)'!L9/'Input-FX Rates'!$H$13</f>
        <v>75.43517819937702</v>
      </c>
      <c r="N9" s="720">
        <f>+'5.1 Inventory (LC)'!M9/'Input-FX Rates'!$H$13</f>
        <v>71.179808952411491</v>
      </c>
      <c r="O9" s="720">
        <f>+'5.1 Inventory (LC)'!N9/'Input-FX Rates'!$H$13</f>
        <v>78.556106710508047</v>
      </c>
      <c r="P9" s="720">
        <f>+'5.1 Inventory (LC)'!O9/'Input-FX Rates'!$H$13</f>
        <v>71.926088972990826</v>
      </c>
      <c r="Q9" s="721">
        <f>+'5.1 Inventory (LC)'!P9/'Input-FX Rates'!$H$13</f>
        <v>66.857629427528778</v>
      </c>
      <c r="R9" s="716">
        <f>SUM(F9:Q9)/12</f>
        <v>72.405413778061686</v>
      </c>
      <c r="S9" s="888" t="str">
        <f>IF(ISBLANK('5.1 Inventory (LC)'!R9),"",'5.1 Inventory (LC)'!R9)</f>
        <v/>
      </c>
    </row>
    <row r="10" spans="1:21" x14ac:dyDescent="0.25">
      <c r="A10" s="1034"/>
      <c r="B10" s="712" t="s">
        <v>559</v>
      </c>
      <c r="C10" s="332">
        <f>+'5.1 Inventory (LC)'!C10/'Input-FX Rates'!$E$13</f>
        <v>0</v>
      </c>
      <c r="D10" s="222">
        <f>+'5.1 Inventory (LC)'!D10/'Input-FX Rates'!$G$13</f>
        <v>0</v>
      </c>
      <c r="E10" s="222">
        <f>+'5.1 Inventory (LC)'!D10/'Input-FX Rates'!$H$13</f>
        <v>0</v>
      </c>
      <c r="F10" s="807">
        <f>+'5.1 Inventory (LC)'!E10/'Input-FX Rates'!$H$13</f>
        <v>0</v>
      </c>
      <c r="G10" s="719">
        <f>+'5.1 Inventory (LC)'!F10/'Input-FX Rates'!$H$13</f>
        <v>0</v>
      </c>
      <c r="H10" s="720">
        <f>+'5.1 Inventory (LC)'!G10/'Input-FX Rates'!$H$13</f>
        <v>0</v>
      </c>
      <c r="I10" s="720">
        <f>+'5.1 Inventory (LC)'!H10/'Input-FX Rates'!$H$13</f>
        <v>0</v>
      </c>
      <c r="J10" s="720">
        <f>+'5.1 Inventory (LC)'!I10/'Input-FX Rates'!$H$13</f>
        <v>0</v>
      </c>
      <c r="K10" s="720">
        <f>+'5.1 Inventory (LC)'!J10/'Input-FX Rates'!$H$13</f>
        <v>0</v>
      </c>
      <c r="L10" s="720">
        <f>+'5.1 Inventory (LC)'!K10/'Input-FX Rates'!$H$13</f>
        <v>0</v>
      </c>
      <c r="M10" s="720">
        <f>+'5.1 Inventory (LC)'!L10/'Input-FX Rates'!$H$13</f>
        <v>0</v>
      </c>
      <c r="N10" s="720">
        <f>+'5.1 Inventory (LC)'!M10/'Input-FX Rates'!$H$13</f>
        <v>0</v>
      </c>
      <c r="O10" s="720">
        <f>+'5.1 Inventory (LC)'!N10/'Input-FX Rates'!$H$13</f>
        <v>0</v>
      </c>
      <c r="P10" s="720">
        <f>+'5.1 Inventory (LC)'!O10/'Input-FX Rates'!$H$13</f>
        <v>0</v>
      </c>
      <c r="Q10" s="721">
        <f>+'5.1 Inventory (LC)'!P10/'Input-FX Rates'!$H$13</f>
        <v>0</v>
      </c>
      <c r="R10" s="716">
        <f t="shared" ref="R10:R46" si="1">SUM(F10:Q10)/12</f>
        <v>0</v>
      </c>
      <c r="S10" s="888" t="str">
        <f>IF(ISBLANK('5.1 Inventory (LC)'!R10),"",'5.1 Inventory (LC)'!R10)</f>
        <v/>
      </c>
    </row>
    <row r="11" spans="1:21" x14ac:dyDescent="0.25">
      <c r="A11" s="1034"/>
      <c r="B11" s="712" t="s">
        <v>560</v>
      </c>
      <c r="C11" s="332">
        <f>+'5.1 Inventory (LC)'!C11/'Input-FX Rates'!$E$13</f>
        <v>0</v>
      </c>
      <c r="D11" s="222">
        <f>+'5.1 Inventory (LC)'!D11/'Input-FX Rates'!$G$13</f>
        <v>0</v>
      </c>
      <c r="E11" s="222">
        <f>+'5.1 Inventory (LC)'!D11/'Input-FX Rates'!$H$13</f>
        <v>0</v>
      </c>
      <c r="F11" s="807">
        <f>+'5.1 Inventory (LC)'!E11/'Input-FX Rates'!$H$13</f>
        <v>0</v>
      </c>
      <c r="G11" s="719">
        <f>+'5.1 Inventory (LC)'!F11/'Input-FX Rates'!$H$13</f>
        <v>0</v>
      </c>
      <c r="H11" s="720">
        <f>+'5.1 Inventory (LC)'!G11/'Input-FX Rates'!$H$13</f>
        <v>0</v>
      </c>
      <c r="I11" s="720">
        <f>+'5.1 Inventory (LC)'!H11/'Input-FX Rates'!$H$13</f>
        <v>0</v>
      </c>
      <c r="J11" s="720">
        <f>+'5.1 Inventory (LC)'!I11/'Input-FX Rates'!$H$13</f>
        <v>0</v>
      </c>
      <c r="K11" s="720">
        <f>+'5.1 Inventory (LC)'!J11/'Input-FX Rates'!$H$13</f>
        <v>0</v>
      </c>
      <c r="L11" s="720">
        <f>+'5.1 Inventory (LC)'!K11/'Input-FX Rates'!$H$13</f>
        <v>0</v>
      </c>
      <c r="M11" s="720">
        <f>+'5.1 Inventory (LC)'!L11/'Input-FX Rates'!$H$13</f>
        <v>0</v>
      </c>
      <c r="N11" s="720">
        <f>+'5.1 Inventory (LC)'!M11/'Input-FX Rates'!$H$13</f>
        <v>0</v>
      </c>
      <c r="O11" s="720">
        <f>+'5.1 Inventory (LC)'!N11/'Input-FX Rates'!$H$13</f>
        <v>0</v>
      </c>
      <c r="P11" s="720">
        <f>+'5.1 Inventory (LC)'!O11/'Input-FX Rates'!$H$13</f>
        <v>0</v>
      </c>
      <c r="Q11" s="721">
        <f>+'5.1 Inventory (LC)'!P11/'Input-FX Rates'!$H$13</f>
        <v>0</v>
      </c>
      <c r="R11" s="716">
        <f t="shared" si="1"/>
        <v>0</v>
      </c>
      <c r="S11" s="888" t="str">
        <f>IF(ISBLANK('5.1 Inventory (LC)'!R11),"",'5.1 Inventory (LC)'!R11)</f>
        <v/>
      </c>
    </row>
    <row r="12" spans="1:21" x14ac:dyDescent="0.25">
      <c r="A12" s="1034"/>
      <c r="B12" s="712" t="s">
        <v>561</v>
      </c>
      <c r="C12" s="332">
        <f>+'5.1 Inventory (LC)'!C12/'Input-FX Rates'!$E$13</f>
        <v>0</v>
      </c>
      <c r="D12" s="222">
        <f>+'5.1 Inventory (LC)'!D12/'Input-FX Rates'!$G$13</f>
        <v>0</v>
      </c>
      <c r="E12" s="222">
        <f>+'5.1 Inventory (LC)'!D12/'Input-FX Rates'!$H$13</f>
        <v>0</v>
      </c>
      <c r="F12" s="807">
        <f>+'5.1 Inventory (LC)'!E12/'Input-FX Rates'!$H$13</f>
        <v>0</v>
      </c>
      <c r="G12" s="719">
        <f>+'5.1 Inventory (LC)'!F12/'Input-FX Rates'!$H$13</f>
        <v>0</v>
      </c>
      <c r="H12" s="720">
        <f>+'5.1 Inventory (LC)'!G12/'Input-FX Rates'!$H$13</f>
        <v>0</v>
      </c>
      <c r="I12" s="720">
        <f>+'5.1 Inventory (LC)'!H12/'Input-FX Rates'!$H$13</f>
        <v>0</v>
      </c>
      <c r="J12" s="720">
        <f>+'5.1 Inventory (LC)'!I12/'Input-FX Rates'!$H$13</f>
        <v>0</v>
      </c>
      <c r="K12" s="720">
        <f>+'5.1 Inventory (LC)'!J12/'Input-FX Rates'!$H$13</f>
        <v>0</v>
      </c>
      <c r="L12" s="720">
        <f>+'5.1 Inventory (LC)'!K12/'Input-FX Rates'!$H$13</f>
        <v>0</v>
      </c>
      <c r="M12" s="720">
        <f>+'5.1 Inventory (LC)'!L12/'Input-FX Rates'!$H$13</f>
        <v>0</v>
      </c>
      <c r="N12" s="720">
        <f>+'5.1 Inventory (LC)'!M12/'Input-FX Rates'!$H$13</f>
        <v>0</v>
      </c>
      <c r="O12" s="720">
        <f>+'5.1 Inventory (LC)'!N12/'Input-FX Rates'!$H$13</f>
        <v>0</v>
      </c>
      <c r="P12" s="720">
        <f>+'5.1 Inventory (LC)'!O12/'Input-FX Rates'!$H$13</f>
        <v>0</v>
      </c>
      <c r="Q12" s="721">
        <f>+'5.1 Inventory (LC)'!P12/'Input-FX Rates'!$H$13</f>
        <v>0</v>
      </c>
      <c r="R12" s="716">
        <f t="shared" si="1"/>
        <v>0</v>
      </c>
      <c r="S12" s="888" t="str">
        <f>IF(ISBLANK('5.1 Inventory (LC)'!R12),"",'5.1 Inventory (LC)'!R12)</f>
        <v/>
      </c>
    </row>
    <row r="13" spans="1:21" x14ac:dyDescent="0.25">
      <c r="A13" s="1034"/>
      <c r="B13" s="712" t="s">
        <v>562</v>
      </c>
      <c r="C13" s="332">
        <f>+'5.1 Inventory (LC)'!C13/'Input-FX Rates'!$E$13</f>
        <v>0</v>
      </c>
      <c r="D13" s="222">
        <f>+'5.1 Inventory (LC)'!D13/'Input-FX Rates'!$G$13</f>
        <v>0</v>
      </c>
      <c r="E13" s="222">
        <f>+'5.1 Inventory (LC)'!D13/'Input-FX Rates'!$H$13</f>
        <v>0</v>
      </c>
      <c r="F13" s="807">
        <f>+'5.1 Inventory (LC)'!E13/'Input-FX Rates'!$H$13</f>
        <v>0</v>
      </c>
      <c r="G13" s="719">
        <f>+'5.1 Inventory (LC)'!F13/'Input-FX Rates'!$H$13</f>
        <v>0</v>
      </c>
      <c r="H13" s="720">
        <f>+'5.1 Inventory (LC)'!G13/'Input-FX Rates'!$H$13</f>
        <v>0</v>
      </c>
      <c r="I13" s="720">
        <f>+'5.1 Inventory (LC)'!H13/'Input-FX Rates'!$H$13</f>
        <v>0</v>
      </c>
      <c r="J13" s="720">
        <f>+'5.1 Inventory (LC)'!I13/'Input-FX Rates'!$H$13</f>
        <v>0</v>
      </c>
      <c r="K13" s="720">
        <f>+'5.1 Inventory (LC)'!J13/'Input-FX Rates'!$H$13</f>
        <v>0</v>
      </c>
      <c r="L13" s="720">
        <f>+'5.1 Inventory (LC)'!K13/'Input-FX Rates'!$H$13</f>
        <v>0</v>
      </c>
      <c r="M13" s="720">
        <f>+'5.1 Inventory (LC)'!L13/'Input-FX Rates'!$H$13</f>
        <v>0</v>
      </c>
      <c r="N13" s="720">
        <f>+'5.1 Inventory (LC)'!M13/'Input-FX Rates'!$H$13</f>
        <v>0</v>
      </c>
      <c r="O13" s="720">
        <f>+'5.1 Inventory (LC)'!N13/'Input-FX Rates'!$H$13</f>
        <v>0</v>
      </c>
      <c r="P13" s="720">
        <f>+'5.1 Inventory (LC)'!O13/'Input-FX Rates'!$H$13</f>
        <v>0</v>
      </c>
      <c r="Q13" s="721">
        <f>+'5.1 Inventory (LC)'!P13/'Input-FX Rates'!$H$13</f>
        <v>0</v>
      </c>
      <c r="R13" s="716">
        <f t="shared" si="1"/>
        <v>0</v>
      </c>
      <c r="S13" s="888" t="str">
        <f>IF(ISBLANK('5.1 Inventory (LC)'!R13),"",'5.1 Inventory (LC)'!R13)</f>
        <v/>
      </c>
    </row>
    <row r="14" spans="1:21" x14ac:dyDescent="0.25">
      <c r="A14" s="1033" t="s">
        <v>563</v>
      </c>
      <c r="B14" s="717" t="s">
        <v>564</v>
      </c>
      <c r="C14" s="723">
        <f>+'5.1 Inventory (LC)'!C14/'Input-FX Rates'!$E$13</f>
        <v>0</v>
      </c>
      <c r="D14" s="803">
        <f>+'5.1 Inventory (LC)'!D14/'Input-FX Rates'!$G$13</f>
        <v>0</v>
      </c>
      <c r="E14" s="803">
        <f>+'5.1 Inventory (LC)'!D14/'Input-FX Rates'!$H$13</f>
        <v>0</v>
      </c>
      <c r="F14" s="808">
        <f>+'5.1 Inventory (LC)'!E14/'Input-FX Rates'!$H$13</f>
        <v>0</v>
      </c>
      <c r="G14" s="724">
        <f>+'5.1 Inventory (LC)'!F14/'Input-FX Rates'!$H$13</f>
        <v>0</v>
      </c>
      <c r="H14" s="725">
        <f>+'5.1 Inventory (LC)'!G14/'Input-FX Rates'!$H$13</f>
        <v>0</v>
      </c>
      <c r="I14" s="725">
        <f>+'5.1 Inventory (LC)'!H14/'Input-FX Rates'!$H$13</f>
        <v>0</v>
      </c>
      <c r="J14" s="725">
        <f>+'5.1 Inventory (LC)'!I14/'Input-FX Rates'!$H$13</f>
        <v>0</v>
      </c>
      <c r="K14" s="725">
        <f>+'5.1 Inventory (LC)'!J14/'Input-FX Rates'!$H$13</f>
        <v>0</v>
      </c>
      <c r="L14" s="725">
        <f>+'5.1 Inventory (LC)'!K14/'Input-FX Rates'!$H$13</f>
        <v>0</v>
      </c>
      <c r="M14" s="725">
        <f>+'5.1 Inventory (LC)'!L14/'Input-FX Rates'!$H$13</f>
        <v>0</v>
      </c>
      <c r="N14" s="725">
        <f>+'5.1 Inventory (LC)'!M14/'Input-FX Rates'!$H$13</f>
        <v>0</v>
      </c>
      <c r="O14" s="725">
        <f>+'5.1 Inventory (LC)'!N14/'Input-FX Rates'!$H$13</f>
        <v>0</v>
      </c>
      <c r="P14" s="725">
        <f>+'5.1 Inventory (LC)'!O14/'Input-FX Rates'!$H$13</f>
        <v>0</v>
      </c>
      <c r="Q14" s="726">
        <f>+'5.1 Inventory (LC)'!P14/'Input-FX Rates'!$H$13</f>
        <v>0</v>
      </c>
      <c r="R14" s="727">
        <f t="shared" si="1"/>
        <v>0</v>
      </c>
      <c r="S14" s="889" t="str">
        <f>IF(ISBLANK('5.1 Inventory (LC)'!R14),"",'5.1 Inventory (LC)'!R14)</f>
        <v/>
      </c>
    </row>
    <row r="15" spans="1:21" x14ac:dyDescent="0.25">
      <c r="A15" s="1033"/>
      <c r="B15" s="717" t="s">
        <v>565</v>
      </c>
      <c r="C15" s="723">
        <f>+'5.1 Inventory (LC)'!C15/'Input-FX Rates'!$E$13</f>
        <v>0</v>
      </c>
      <c r="D15" s="803">
        <f>+'5.1 Inventory (LC)'!D15/'Input-FX Rates'!$G$13</f>
        <v>0</v>
      </c>
      <c r="E15" s="803">
        <f>+'5.1 Inventory (LC)'!D15/'Input-FX Rates'!$H$13</f>
        <v>0</v>
      </c>
      <c r="F15" s="808">
        <f>+'5.1 Inventory (LC)'!E15/'Input-FX Rates'!$H$13</f>
        <v>0</v>
      </c>
      <c r="G15" s="724">
        <f>+'5.1 Inventory (LC)'!F15/'Input-FX Rates'!$H$13</f>
        <v>0</v>
      </c>
      <c r="H15" s="725">
        <f>+'5.1 Inventory (LC)'!G15/'Input-FX Rates'!$H$13</f>
        <v>0</v>
      </c>
      <c r="I15" s="725">
        <f>+'5.1 Inventory (LC)'!H15/'Input-FX Rates'!$H$13</f>
        <v>0</v>
      </c>
      <c r="J15" s="725">
        <f>+'5.1 Inventory (LC)'!I15/'Input-FX Rates'!$H$13</f>
        <v>0</v>
      </c>
      <c r="K15" s="725">
        <f>+'5.1 Inventory (LC)'!J15/'Input-FX Rates'!$H$13</f>
        <v>0</v>
      </c>
      <c r="L15" s="725">
        <f>+'5.1 Inventory (LC)'!K15/'Input-FX Rates'!$H$13</f>
        <v>0</v>
      </c>
      <c r="M15" s="725">
        <f>+'5.1 Inventory (LC)'!L15/'Input-FX Rates'!$H$13</f>
        <v>0</v>
      </c>
      <c r="N15" s="725">
        <f>+'5.1 Inventory (LC)'!M15/'Input-FX Rates'!$H$13</f>
        <v>0</v>
      </c>
      <c r="O15" s="725">
        <f>+'5.1 Inventory (LC)'!N15/'Input-FX Rates'!$H$13</f>
        <v>0</v>
      </c>
      <c r="P15" s="725">
        <f>+'5.1 Inventory (LC)'!O15/'Input-FX Rates'!$H$13</f>
        <v>0</v>
      </c>
      <c r="Q15" s="726">
        <f>+'5.1 Inventory (LC)'!P15/'Input-FX Rates'!$H$13</f>
        <v>0</v>
      </c>
      <c r="R15" s="727">
        <f t="shared" si="1"/>
        <v>0</v>
      </c>
      <c r="S15" s="889" t="str">
        <f>IF(ISBLANK('5.1 Inventory (LC)'!R15),"",'5.1 Inventory (LC)'!R15)</f>
        <v/>
      </c>
    </row>
    <row r="16" spans="1:21" x14ac:dyDescent="0.25">
      <c r="A16" s="1033"/>
      <c r="B16" s="717" t="s">
        <v>566</v>
      </c>
      <c r="C16" s="723">
        <f>+'5.1 Inventory (LC)'!C16/'Input-FX Rates'!$E$13</f>
        <v>0</v>
      </c>
      <c r="D16" s="803">
        <f>+'5.1 Inventory (LC)'!D16/'Input-FX Rates'!$G$13</f>
        <v>0</v>
      </c>
      <c r="E16" s="803">
        <f>+'5.1 Inventory (LC)'!D16/'Input-FX Rates'!$H$13</f>
        <v>0</v>
      </c>
      <c r="F16" s="808">
        <f>+'5.1 Inventory (LC)'!E16/'Input-FX Rates'!$H$13</f>
        <v>0</v>
      </c>
      <c r="G16" s="724">
        <f>+'5.1 Inventory (LC)'!F16/'Input-FX Rates'!$H$13</f>
        <v>0</v>
      </c>
      <c r="H16" s="725">
        <f>+'5.1 Inventory (LC)'!G16/'Input-FX Rates'!$H$13</f>
        <v>0</v>
      </c>
      <c r="I16" s="725">
        <f>+'5.1 Inventory (LC)'!H16/'Input-FX Rates'!$H$13</f>
        <v>0</v>
      </c>
      <c r="J16" s="725">
        <f>+'5.1 Inventory (LC)'!I16/'Input-FX Rates'!$H$13</f>
        <v>0</v>
      </c>
      <c r="K16" s="725">
        <f>+'5.1 Inventory (LC)'!J16/'Input-FX Rates'!$H$13</f>
        <v>0</v>
      </c>
      <c r="L16" s="725">
        <f>+'5.1 Inventory (LC)'!K16/'Input-FX Rates'!$H$13</f>
        <v>0</v>
      </c>
      <c r="M16" s="725">
        <f>+'5.1 Inventory (LC)'!L16/'Input-FX Rates'!$H$13</f>
        <v>0</v>
      </c>
      <c r="N16" s="725">
        <f>+'5.1 Inventory (LC)'!M16/'Input-FX Rates'!$H$13</f>
        <v>0</v>
      </c>
      <c r="O16" s="725">
        <f>+'5.1 Inventory (LC)'!N16/'Input-FX Rates'!$H$13</f>
        <v>0</v>
      </c>
      <c r="P16" s="725">
        <f>+'5.1 Inventory (LC)'!O16/'Input-FX Rates'!$H$13</f>
        <v>0</v>
      </c>
      <c r="Q16" s="726">
        <f>+'5.1 Inventory (LC)'!P16/'Input-FX Rates'!$H$13</f>
        <v>0</v>
      </c>
      <c r="R16" s="727">
        <f t="shared" si="1"/>
        <v>0</v>
      </c>
      <c r="S16" s="889" t="str">
        <f>IF(ISBLANK('5.1 Inventory (LC)'!R16),"",'5.1 Inventory (LC)'!R16)</f>
        <v/>
      </c>
    </row>
    <row r="17" spans="1:19" x14ac:dyDescent="0.25">
      <c r="A17" s="1033"/>
      <c r="B17" s="717" t="s">
        <v>567</v>
      </c>
      <c r="C17" s="723">
        <f>+'5.1 Inventory (LC)'!C17/'Input-FX Rates'!$E$13</f>
        <v>0</v>
      </c>
      <c r="D17" s="803">
        <f>+'5.1 Inventory (LC)'!D17/'Input-FX Rates'!$G$13</f>
        <v>0</v>
      </c>
      <c r="E17" s="803">
        <f>+'5.1 Inventory (LC)'!D17/'Input-FX Rates'!$H$13</f>
        <v>0</v>
      </c>
      <c r="F17" s="808">
        <f>+'5.1 Inventory (LC)'!E17/'Input-FX Rates'!$H$13</f>
        <v>0</v>
      </c>
      <c r="G17" s="724">
        <f>+'5.1 Inventory (LC)'!F17/'Input-FX Rates'!$H$13</f>
        <v>0</v>
      </c>
      <c r="H17" s="725">
        <f>+'5.1 Inventory (LC)'!G17/'Input-FX Rates'!$H$13</f>
        <v>0</v>
      </c>
      <c r="I17" s="725">
        <f>+'5.1 Inventory (LC)'!H17/'Input-FX Rates'!$H$13</f>
        <v>0</v>
      </c>
      <c r="J17" s="725">
        <f>+'5.1 Inventory (LC)'!I17/'Input-FX Rates'!$H$13</f>
        <v>0</v>
      </c>
      <c r="K17" s="725">
        <f>+'5.1 Inventory (LC)'!J17/'Input-FX Rates'!$H$13</f>
        <v>0</v>
      </c>
      <c r="L17" s="725">
        <f>+'5.1 Inventory (LC)'!K17/'Input-FX Rates'!$H$13</f>
        <v>0</v>
      </c>
      <c r="M17" s="725">
        <f>+'5.1 Inventory (LC)'!L17/'Input-FX Rates'!$H$13</f>
        <v>0</v>
      </c>
      <c r="N17" s="725">
        <f>+'5.1 Inventory (LC)'!M17/'Input-FX Rates'!$H$13</f>
        <v>0</v>
      </c>
      <c r="O17" s="725">
        <f>+'5.1 Inventory (LC)'!N17/'Input-FX Rates'!$H$13</f>
        <v>0</v>
      </c>
      <c r="P17" s="725">
        <f>+'5.1 Inventory (LC)'!O17/'Input-FX Rates'!$H$13</f>
        <v>0</v>
      </c>
      <c r="Q17" s="726">
        <f>+'5.1 Inventory (LC)'!P17/'Input-FX Rates'!$H$13</f>
        <v>0</v>
      </c>
      <c r="R17" s="727">
        <f t="shared" si="1"/>
        <v>0</v>
      </c>
      <c r="S17" s="889" t="str">
        <f>IF(ISBLANK('5.1 Inventory (LC)'!R17),"",'5.1 Inventory (LC)'!R17)</f>
        <v/>
      </c>
    </row>
    <row r="18" spans="1:19" x14ac:dyDescent="0.25">
      <c r="A18" s="1033"/>
      <c r="B18" s="717" t="s">
        <v>561</v>
      </c>
      <c r="C18" s="723">
        <f>+'5.1 Inventory (LC)'!C18/'Input-FX Rates'!$E$13</f>
        <v>0</v>
      </c>
      <c r="D18" s="803">
        <f>+'5.1 Inventory (LC)'!D18/'Input-FX Rates'!$G$13</f>
        <v>0</v>
      </c>
      <c r="E18" s="803">
        <f>+'5.1 Inventory (LC)'!D18/'Input-FX Rates'!$H$13</f>
        <v>0</v>
      </c>
      <c r="F18" s="808">
        <f>+'5.1 Inventory (LC)'!E18/'Input-FX Rates'!$H$13</f>
        <v>0</v>
      </c>
      <c r="G18" s="724">
        <f>+'5.1 Inventory (LC)'!F18/'Input-FX Rates'!$H$13</f>
        <v>0</v>
      </c>
      <c r="H18" s="725">
        <f>+'5.1 Inventory (LC)'!G18/'Input-FX Rates'!$H$13</f>
        <v>0</v>
      </c>
      <c r="I18" s="725">
        <f>+'5.1 Inventory (LC)'!H18/'Input-FX Rates'!$H$13</f>
        <v>0</v>
      </c>
      <c r="J18" s="725">
        <f>+'5.1 Inventory (LC)'!I18/'Input-FX Rates'!$H$13</f>
        <v>0</v>
      </c>
      <c r="K18" s="725">
        <f>+'5.1 Inventory (LC)'!J18/'Input-FX Rates'!$H$13</f>
        <v>0</v>
      </c>
      <c r="L18" s="725">
        <f>+'5.1 Inventory (LC)'!K18/'Input-FX Rates'!$H$13</f>
        <v>0</v>
      </c>
      <c r="M18" s="725">
        <f>+'5.1 Inventory (LC)'!L18/'Input-FX Rates'!$H$13</f>
        <v>0</v>
      </c>
      <c r="N18" s="725">
        <f>+'5.1 Inventory (LC)'!M18/'Input-FX Rates'!$H$13</f>
        <v>0</v>
      </c>
      <c r="O18" s="725">
        <f>+'5.1 Inventory (LC)'!N18/'Input-FX Rates'!$H$13</f>
        <v>0</v>
      </c>
      <c r="P18" s="725">
        <f>+'5.1 Inventory (LC)'!O18/'Input-FX Rates'!$H$13</f>
        <v>0</v>
      </c>
      <c r="Q18" s="726">
        <f>+'5.1 Inventory (LC)'!P18/'Input-FX Rates'!$H$13</f>
        <v>0</v>
      </c>
      <c r="R18" s="727">
        <f t="shared" si="1"/>
        <v>0</v>
      </c>
      <c r="S18" s="889" t="str">
        <f>IF(ISBLANK('5.1 Inventory (LC)'!R18),"",'5.1 Inventory (LC)'!R18)</f>
        <v/>
      </c>
    </row>
    <row r="19" spans="1:19" x14ac:dyDescent="0.25">
      <c r="A19" s="1033"/>
      <c r="B19" s="717" t="s">
        <v>568</v>
      </c>
      <c r="C19" s="723">
        <f>+'5.1 Inventory (LC)'!C19/'Input-FX Rates'!$E$13</f>
        <v>0</v>
      </c>
      <c r="D19" s="803">
        <f>+'5.1 Inventory (LC)'!D19/'Input-FX Rates'!$G$13</f>
        <v>0</v>
      </c>
      <c r="E19" s="803">
        <f>+'5.1 Inventory (LC)'!D19/'Input-FX Rates'!$H$13</f>
        <v>0</v>
      </c>
      <c r="F19" s="808">
        <f>+'5.1 Inventory (LC)'!E19/'Input-FX Rates'!$H$13</f>
        <v>0</v>
      </c>
      <c r="G19" s="724">
        <f>+'5.1 Inventory (LC)'!F19/'Input-FX Rates'!$H$13</f>
        <v>0</v>
      </c>
      <c r="H19" s="725">
        <f>+'5.1 Inventory (LC)'!G19/'Input-FX Rates'!$H$13</f>
        <v>0</v>
      </c>
      <c r="I19" s="725">
        <f>+'5.1 Inventory (LC)'!H19/'Input-FX Rates'!$H$13</f>
        <v>0</v>
      </c>
      <c r="J19" s="725">
        <f>+'5.1 Inventory (LC)'!I19/'Input-FX Rates'!$H$13</f>
        <v>0</v>
      </c>
      <c r="K19" s="725">
        <f>+'5.1 Inventory (LC)'!J19/'Input-FX Rates'!$H$13</f>
        <v>0</v>
      </c>
      <c r="L19" s="725">
        <f>+'5.1 Inventory (LC)'!K19/'Input-FX Rates'!$H$13</f>
        <v>0</v>
      </c>
      <c r="M19" s="725">
        <f>+'5.1 Inventory (LC)'!L19/'Input-FX Rates'!$H$13</f>
        <v>0</v>
      </c>
      <c r="N19" s="725">
        <f>+'5.1 Inventory (LC)'!M19/'Input-FX Rates'!$H$13</f>
        <v>0</v>
      </c>
      <c r="O19" s="725">
        <f>+'5.1 Inventory (LC)'!N19/'Input-FX Rates'!$H$13</f>
        <v>0</v>
      </c>
      <c r="P19" s="725">
        <f>+'5.1 Inventory (LC)'!O19/'Input-FX Rates'!$H$13</f>
        <v>0</v>
      </c>
      <c r="Q19" s="726">
        <f>+'5.1 Inventory (LC)'!P19/'Input-FX Rates'!$H$13</f>
        <v>0</v>
      </c>
      <c r="R19" s="727">
        <f t="shared" si="1"/>
        <v>0</v>
      </c>
      <c r="S19" s="889" t="str">
        <f>IF(ISBLANK('5.1 Inventory (LC)'!R19),"",'5.1 Inventory (LC)'!R19)</f>
        <v/>
      </c>
    </row>
    <row r="20" spans="1:19" x14ac:dyDescent="0.25">
      <c r="A20" s="1033"/>
      <c r="B20" s="718" t="s">
        <v>562</v>
      </c>
      <c r="C20" s="723">
        <f>+'5.1 Inventory (LC)'!C20/'Input-FX Rates'!$E$13</f>
        <v>0</v>
      </c>
      <c r="D20" s="803">
        <f>+'5.1 Inventory (LC)'!D20/'Input-FX Rates'!$G$13</f>
        <v>0</v>
      </c>
      <c r="E20" s="803">
        <f>+'5.1 Inventory (LC)'!D20/'Input-FX Rates'!$H$13</f>
        <v>0</v>
      </c>
      <c r="F20" s="808">
        <f>+'5.1 Inventory (LC)'!E20/'Input-FX Rates'!$H$13</f>
        <v>0</v>
      </c>
      <c r="G20" s="724">
        <f>+'5.1 Inventory (LC)'!F20/'Input-FX Rates'!$H$13</f>
        <v>0</v>
      </c>
      <c r="H20" s="725">
        <f>+'5.1 Inventory (LC)'!G20/'Input-FX Rates'!$H$13</f>
        <v>0</v>
      </c>
      <c r="I20" s="725">
        <f>+'5.1 Inventory (LC)'!H20/'Input-FX Rates'!$H$13</f>
        <v>0</v>
      </c>
      <c r="J20" s="725">
        <f>+'5.1 Inventory (LC)'!I20/'Input-FX Rates'!$H$13</f>
        <v>0</v>
      </c>
      <c r="K20" s="725">
        <f>+'5.1 Inventory (LC)'!J20/'Input-FX Rates'!$H$13</f>
        <v>0</v>
      </c>
      <c r="L20" s="725">
        <f>+'5.1 Inventory (LC)'!K20/'Input-FX Rates'!$H$13</f>
        <v>0</v>
      </c>
      <c r="M20" s="725">
        <f>+'5.1 Inventory (LC)'!L20/'Input-FX Rates'!$H$13</f>
        <v>0</v>
      </c>
      <c r="N20" s="725">
        <f>+'5.1 Inventory (LC)'!M20/'Input-FX Rates'!$H$13</f>
        <v>0</v>
      </c>
      <c r="O20" s="725">
        <f>+'5.1 Inventory (LC)'!N20/'Input-FX Rates'!$H$13</f>
        <v>0</v>
      </c>
      <c r="P20" s="725">
        <f>+'5.1 Inventory (LC)'!O20/'Input-FX Rates'!$H$13</f>
        <v>0</v>
      </c>
      <c r="Q20" s="726">
        <f>+'5.1 Inventory (LC)'!P20/'Input-FX Rates'!$H$13</f>
        <v>0</v>
      </c>
      <c r="R20" s="727">
        <f t="shared" si="1"/>
        <v>0</v>
      </c>
      <c r="S20" s="889" t="str">
        <f>IF(ISBLANK('5.1 Inventory (LC)'!R20),"",'5.1 Inventory (LC)'!R20)</f>
        <v/>
      </c>
    </row>
    <row r="21" spans="1:19" x14ac:dyDescent="0.25">
      <c r="A21" s="1033"/>
      <c r="B21" s="718" t="s">
        <v>569</v>
      </c>
      <c r="C21" s="723">
        <f>+'5.1 Inventory (LC)'!C21/'Input-FX Rates'!$E$13</f>
        <v>0</v>
      </c>
      <c r="D21" s="803">
        <f>+'5.1 Inventory (LC)'!D21/'Input-FX Rates'!$G$13</f>
        <v>0</v>
      </c>
      <c r="E21" s="803">
        <f>+'5.1 Inventory (LC)'!D21/'Input-FX Rates'!$H$13</f>
        <v>0</v>
      </c>
      <c r="F21" s="808">
        <f>+'5.1 Inventory (LC)'!E21/'Input-FX Rates'!$H$13</f>
        <v>0</v>
      </c>
      <c r="G21" s="724">
        <f>+'5.1 Inventory (LC)'!F21/'Input-FX Rates'!$H$13</f>
        <v>0</v>
      </c>
      <c r="H21" s="725">
        <f>+'5.1 Inventory (LC)'!G21/'Input-FX Rates'!$H$13</f>
        <v>0</v>
      </c>
      <c r="I21" s="725">
        <f>+'5.1 Inventory (LC)'!H21/'Input-FX Rates'!$H$13</f>
        <v>0</v>
      </c>
      <c r="J21" s="725">
        <f>+'5.1 Inventory (LC)'!I21/'Input-FX Rates'!$H$13</f>
        <v>0</v>
      </c>
      <c r="K21" s="725">
        <f>+'5.1 Inventory (LC)'!J21/'Input-FX Rates'!$H$13</f>
        <v>0</v>
      </c>
      <c r="L21" s="725">
        <f>+'5.1 Inventory (LC)'!K21/'Input-FX Rates'!$H$13</f>
        <v>0</v>
      </c>
      <c r="M21" s="725">
        <f>+'5.1 Inventory (LC)'!L21/'Input-FX Rates'!$H$13</f>
        <v>0</v>
      </c>
      <c r="N21" s="725">
        <f>+'5.1 Inventory (LC)'!M21/'Input-FX Rates'!$H$13</f>
        <v>0</v>
      </c>
      <c r="O21" s="725">
        <f>+'5.1 Inventory (LC)'!N21/'Input-FX Rates'!$H$13</f>
        <v>0</v>
      </c>
      <c r="P21" s="725">
        <f>+'5.1 Inventory (LC)'!O21/'Input-FX Rates'!$H$13</f>
        <v>0</v>
      </c>
      <c r="Q21" s="726">
        <f>+'5.1 Inventory (LC)'!P21/'Input-FX Rates'!$H$13</f>
        <v>0</v>
      </c>
      <c r="R21" s="727">
        <f t="shared" si="1"/>
        <v>0</v>
      </c>
      <c r="S21" s="889" t="str">
        <f>IF(ISBLANK('5.1 Inventory (LC)'!R21),"",'5.1 Inventory (LC)'!R21)</f>
        <v/>
      </c>
    </row>
    <row r="22" spans="1:19" x14ac:dyDescent="0.25">
      <c r="A22" s="1033"/>
      <c r="B22" s="718" t="s">
        <v>570</v>
      </c>
      <c r="C22" s="723">
        <f>+'5.1 Inventory (LC)'!C22/'Input-FX Rates'!$E$13</f>
        <v>0</v>
      </c>
      <c r="D22" s="803">
        <f>+'5.1 Inventory (LC)'!D22/'Input-FX Rates'!$G$13</f>
        <v>0</v>
      </c>
      <c r="E22" s="803">
        <f>+'5.1 Inventory (LC)'!D22/'Input-FX Rates'!$H$13</f>
        <v>0</v>
      </c>
      <c r="F22" s="808">
        <f>+'5.1 Inventory (LC)'!E22/'Input-FX Rates'!$H$13</f>
        <v>0</v>
      </c>
      <c r="G22" s="724">
        <f>+'5.1 Inventory (LC)'!F22/'Input-FX Rates'!$H$13</f>
        <v>0</v>
      </c>
      <c r="H22" s="725">
        <f>+'5.1 Inventory (LC)'!G22/'Input-FX Rates'!$H$13</f>
        <v>0</v>
      </c>
      <c r="I22" s="725">
        <f>+'5.1 Inventory (LC)'!H22/'Input-FX Rates'!$H$13</f>
        <v>0</v>
      </c>
      <c r="J22" s="725">
        <f>+'5.1 Inventory (LC)'!I22/'Input-FX Rates'!$H$13</f>
        <v>0</v>
      </c>
      <c r="K22" s="725">
        <f>+'5.1 Inventory (LC)'!J22/'Input-FX Rates'!$H$13</f>
        <v>0</v>
      </c>
      <c r="L22" s="725">
        <f>+'5.1 Inventory (LC)'!K22/'Input-FX Rates'!$H$13</f>
        <v>0</v>
      </c>
      <c r="M22" s="725">
        <f>+'5.1 Inventory (LC)'!L22/'Input-FX Rates'!$H$13</f>
        <v>0</v>
      </c>
      <c r="N22" s="725">
        <f>+'5.1 Inventory (LC)'!M22/'Input-FX Rates'!$H$13</f>
        <v>0</v>
      </c>
      <c r="O22" s="725">
        <f>+'5.1 Inventory (LC)'!N22/'Input-FX Rates'!$H$13</f>
        <v>0</v>
      </c>
      <c r="P22" s="725">
        <f>+'5.1 Inventory (LC)'!O22/'Input-FX Rates'!$H$13</f>
        <v>0</v>
      </c>
      <c r="Q22" s="726">
        <f>+'5.1 Inventory (LC)'!P22/'Input-FX Rates'!$H$13</f>
        <v>0</v>
      </c>
      <c r="R22" s="727">
        <f t="shared" si="1"/>
        <v>0</v>
      </c>
      <c r="S22" s="889" t="str">
        <f>IF(ISBLANK('5.1 Inventory (LC)'!R22),"",'5.1 Inventory (LC)'!R22)</f>
        <v/>
      </c>
    </row>
    <row r="23" spans="1:19" x14ac:dyDescent="0.25">
      <c r="A23" s="1033"/>
      <c r="B23" s="718" t="s">
        <v>571</v>
      </c>
      <c r="C23" s="723">
        <f>+'5.1 Inventory (LC)'!C23/'Input-FX Rates'!$E$13</f>
        <v>0</v>
      </c>
      <c r="D23" s="803">
        <f>+'5.1 Inventory (LC)'!D23/'Input-FX Rates'!$G$13</f>
        <v>172.23081248242903</v>
      </c>
      <c r="E23" s="803">
        <f>+'5.1 Inventory (LC)'!D23/'Input-FX Rates'!$H$13</f>
        <v>169</v>
      </c>
      <c r="F23" s="808">
        <f>+'5.1 Inventory (LC)'!E23/'Input-FX Rates'!$H$13</f>
        <v>160.55000000000001</v>
      </c>
      <c r="G23" s="724">
        <f>+'5.1 Inventory (LC)'!F23/'Input-FX Rates'!$H$13</f>
        <v>147.70600000000002</v>
      </c>
      <c r="H23" s="725">
        <f>+'5.1 Inventory (LC)'!G23/'Input-FX Rates'!$H$13</f>
        <v>135.88952</v>
      </c>
      <c r="I23" s="725">
        <f>+'5.1 Inventory (LC)'!H23/'Input-FX Rates'!$H$13</f>
        <v>125.0183584</v>
      </c>
      <c r="J23" s="725">
        <f>+'5.1 Inventory (LC)'!I23/'Input-FX Rates'!$H$13</f>
        <v>115.01688972800001</v>
      </c>
      <c r="K23" s="725">
        <f>+'5.1 Inventory (LC)'!J23/'Input-FX Rates'!$H$13</f>
        <v>105.81553854976002</v>
      </c>
      <c r="L23" s="725">
        <f>+'5.1 Inventory (LC)'!K23/'Input-FX Rates'!$H$13</f>
        <v>97.350295465779226</v>
      </c>
      <c r="M23" s="725">
        <f>+'5.1 Inventory (LC)'!L23/'Input-FX Rates'!$H$13</f>
        <v>89.562271828516899</v>
      </c>
      <c r="N23" s="725">
        <f>+'5.1 Inventory (LC)'!M23/'Input-FX Rates'!$H$13</f>
        <v>82.397290082235543</v>
      </c>
      <c r="O23" s="725">
        <f>+'5.1 Inventory (LC)'!N23/'Input-FX Rates'!$H$13</f>
        <v>75.805506875656704</v>
      </c>
      <c r="P23" s="725">
        <f>+'5.1 Inventory (LC)'!O23/'Input-FX Rates'!$H$13</f>
        <v>69.74106632560418</v>
      </c>
      <c r="Q23" s="726">
        <f>+'5.1 Inventory (LC)'!P23/'Input-FX Rates'!$H$13</f>
        <v>64.161781019555832</v>
      </c>
      <c r="R23" s="727">
        <f t="shared" si="1"/>
        <v>105.75120985625904</v>
      </c>
      <c r="S23" s="889" t="str">
        <f>IF(ISBLANK('5.1 Inventory (LC)'!R23),"",'5.1 Inventory (LC)'!R23)</f>
        <v/>
      </c>
    </row>
    <row r="24" spans="1:19" ht="15.75" x14ac:dyDescent="0.25">
      <c r="A24" s="213" t="s">
        <v>572</v>
      </c>
      <c r="B24" s="214"/>
      <c r="C24" s="78">
        <f>+'5.1 Inventory (LC)'!C24/'Input-FX Rates'!$E$13</f>
        <v>11.839975672331471</v>
      </c>
      <c r="D24" s="78">
        <f>+'5.1 Inventory (LC)'!D24/'Input-FX Rates'!$G$13</f>
        <v>89.479779308405966</v>
      </c>
      <c r="E24" s="78">
        <f>+'5.1 Inventory (LC)'!D24/'Input-FX Rates'!$H$13</f>
        <v>87.801262068965514</v>
      </c>
      <c r="F24" s="806">
        <f t="shared" ref="F24:Q24" si="2">SUM(F25:F31)</f>
        <v>78.766337861333341</v>
      </c>
      <c r="G24" s="78">
        <f t="shared" si="2"/>
        <v>118.15042064800001</v>
      </c>
      <c r="H24" s="78">
        <f t="shared" si="2"/>
        <v>95.816278506666663</v>
      </c>
      <c r="I24" s="78">
        <f t="shared" si="2"/>
        <v>78.766947098666662</v>
      </c>
      <c r="J24" s="78">
        <f t="shared" si="2"/>
        <v>80.882845125333347</v>
      </c>
      <c r="K24" s="78">
        <f t="shared" si="2"/>
        <v>93.928204326666645</v>
      </c>
      <c r="L24" s="78">
        <f t="shared" si="2"/>
        <v>101.97988439999996</v>
      </c>
      <c r="M24" s="78">
        <f t="shared" si="2"/>
        <v>99.290673606666687</v>
      </c>
      <c r="N24" s="78">
        <f t="shared" si="2"/>
        <v>70.844422021333344</v>
      </c>
      <c r="O24" s="78">
        <f t="shared" si="2"/>
        <v>81.579723904000005</v>
      </c>
      <c r="P24" s="78">
        <f t="shared" si="2"/>
        <v>99.288902486666686</v>
      </c>
      <c r="Q24" s="80">
        <f t="shared" si="2"/>
        <v>68.696586543999985</v>
      </c>
      <c r="R24" s="80">
        <f t="shared" si="1"/>
        <v>88.999268877444436</v>
      </c>
      <c r="S24" s="400" t="str">
        <f>IF(ISBLANK('5.1 Inventory (LC)'!R24),"",'5.1 Inventory (LC)'!R24)</f>
        <v/>
      </c>
    </row>
    <row r="25" spans="1:19" x14ac:dyDescent="0.25">
      <c r="A25" s="1034" t="s">
        <v>557</v>
      </c>
      <c r="B25" s="712" t="s">
        <v>573</v>
      </c>
      <c r="C25" s="332">
        <f>+'5.1 Inventory (LC)'!C25/'Input-FX Rates'!$E$13</f>
        <v>11.839975672331471</v>
      </c>
      <c r="D25" s="222">
        <f>+'5.1 Inventory (LC)'!D25/'Input-FX Rates'!$G$13</f>
        <v>89.479779308405966</v>
      </c>
      <c r="E25" s="222">
        <f>+'5.1 Inventory (LC)'!D25/'Input-FX Rates'!$H$13</f>
        <v>87.801262068965514</v>
      </c>
      <c r="F25" s="807">
        <f>+'5.1 Inventory (LC)'!E25/'Input-FX Rates'!$H$13</f>
        <v>78.766337861333341</v>
      </c>
      <c r="G25" s="719">
        <f>+'5.1 Inventory (LC)'!F25/'Input-FX Rates'!$H$13</f>
        <v>118.15042064800001</v>
      </c>
      <c r="H25" s="719">
        <f>+'5.1 Inventory (LC)'!G25/'Input-FX Rates'!$H$13</f>
        <v>95.816278506666663</v>
      </c>
      <c r="I25" s="719">
        <f>+'5.1 Inventory (LC)'!H25/'Input-FX Rates'!$H$13</f>
        <v>78.766947098666662</v>
      </c>
      <c r="J25" s="719">
        <f>+'5.1 Inventory (LC)'!I25/'Input-FX Rates'!$H$13</f>
        <v>80.882845125333347</v>
      </c>
      <c r="K25" s="719">
        <f>+'5.1 Inventory (LC)'!J25/'Input-FX Rates'!$H$13</f>
        <v>93.928204326666645</v>
      </c>
      <c r="L25" s="719">
        <f>+'5.1 Inventory (LC)'!K25/'Input-FX Rates'!$H$13</f>
        <v>101.97988439999996</v>
      </c>
      <c r="M25" s="719">
        <f>+'5.1 Inventory (LC)'!L25/'Input-FX Rates'!$H$13</f>
        <v>99.290673606666687</v>
      </c>
      <c r="N25" s="719">
        <f>+'5.1 Inventory (LC)'!M25/'Input-FX Rates'!$H$13</f>
        <v>70.844422021333344</v>
      </c>
      <c r="O25" s="719">
        <f>+'5.1 Inventory (LC)'!N25/'Input-FX Rates'!$H$13</f>
        <v>81.579723904000005</v>
      </c>
      <c r="P25" s="719">
        <f>+'5.1 Inventory (LC)'!O25/'Input-FX Rates'!$H$13</f>
        <v>99.288902486666686</v>
      </c>
      <c r="Q25" s="721">
        <f>+'5.1 Inventory (LC)'!P25/'Input-FX Rates'!$H$13</f>
        <v>68.696586543999985</v>
      </c>
      <c r="R25" s="716">
        <f t="shared" si="1"/>
        <v>88.999268877444436</v>
      </c>
      <c r="S25" s="888" t="str">
        <f>IF(ISBLANK('5.1 Inventory (LC)'!R25),"",'5.1 Inventory (LC)'!R25)</f>
        <v/>
      </c>
    </row>
    <row r="26" spans="1:19" x14ac:dyDescent="0.25">
      <c r="A26" s="1034"/>
      <c r="B26" s="712" t="s">
        <v>561</v>
      </c>
      <c r="C26" s="332">
        <f>+'5.1 Inventory (LC)'!C26/'Input-FX Rates'!$E$13</f>
        <v>0</v>
      </c>
      <c r="D26" s="222">
        <f>+'5.1 Inventory (LC)'!D26/'Input-FX Rates'!$G$13</f>
        <v>0</v>
      </c>
      <c r="E26" s="222">
        <f>+'5.1 Inventory (LC)'!D26/'Input-FX Rates'!$H$13</f>
        <v>0</v>
      </c>
      <c r="F26" s="807">
        <f>+'5.1 Inventory (LC)'!E26/'Input-FX Rates'!$H$13</f>
        <v>0</v>
      </c>
      <c r="G26" s="719">
        <f>+'5.1 Inventory (LC)'!F26/'Input-FX Rates'!$H$13</f>
        <v>0</v>
      </c>
      <c r="H26" s="719">
        <f>+'5.1 Inventory (LC)'!G26/'Input-FX Rates'!$H$13</f>
        <v>0</v>
      </c>
      <c r="I26" s="719">
        <f>+'5.1 Inventory (LC)'!H26/'Input-FX Rates'!$H$13</f>
        <v>0</v>
      </c>
      <c r="J26" s="719">
        <f>+'5.1 Inventory (LC)'!I26/'Input-FX Rates'!$H$13</f>
        <v>0</v>
      </c>
      <c r="K26" s="719">
        <f>+'5.1 Inventory (LC)'!J26/'Input-FX Rates'!$H$13</f>
        <v>0</v>
      </c>
      <c r="L26" s="719">
        <f>+'5.1 Inventory (LC)'!K26/'Input-FX Rates'!$H$13</f>
        <v>0</v>
      </c>
      <c r="M26" s="719">
        <f>+'5.1 Inventory (LC)'!L26/'Input-FX Rates'!$H$13</f>
        <v>0</v>
      </c>
      <c r="N26" s="719">
        <f>+'5.1 Inventory (LC)'!M26/'Input-FX Rates'!$H$13</f>
        <v>0</v>
      </c>
      <c r="O26" s="719">
        <f>+'5.1 Inventory (LC)'!N26/'Input-FX Rates'!$H$13</f>
        <v>0</v>
      </c>
      <c r="P26" s="719">
        <f>+'5.1 Inventory (LC)'!O26/'Input-FX Rates'!$H$13</f>
        <v>0</v>
      </c>
      <c r="Q26" s="721">
        <f>+'5.1 Inventory (LC)'!P26/'Input-FX Rates'!$H$13</f>
        <v>0</v>
      </c>
      <c r="R26" s="716">
        <f t="shared" si="1"/>
        <v>0</v>
      </c>
      <c r="S26" s="888" t="str">
        <f>IF(ISBLANK('5.1 Inventory (LC)'!R26),"",'5.1 Inventory (LC)'!R26)</f>
        <v/>
      </c>
    </row>
    <row r="27" spans="1:19" x14ac:dyDescent="0.25">
      <c r="A27" s="1033" t="s">
        <v>563</v>
      </c>
      <c r="B27" s="717" t="s">
        <v>564</v>
      </c>
      <c r="C27" s="723">
        <f>+'5.1 Inventory (LC)'!C27/'Input-FX Rates'!$E$13</f>
        <v>0</v>
      </c>
      <c r="D27" s="803">
        <f>+'5.1 Inventory (LC)'!D27/'Input-FX Rates'!$G$13</f>
        <v>0</v>
      </c>
      <c r="E27" s="803">
        <f>+'5.1 Inventory (LC)'!D27/'Input-FX Rates'!$H$13</f>
        <v>0</v>
      </c>
      <c r="F27" s="808">
        <f>+'5.1 Inventory (LC)'!E27/'Input-FX Rates'!$H$13</f>
        <v>0</v>
      </c>
      <c r="G27" s="724">
        <f>+'5.1 Inventory (LC)'!F27/'Input-FX Rates'!$H$13</f>
        <v>0</v>
      </c>
      <c r="H27" s="724">
        <f>+'5.1 Inventory (LC)'!G27/'Input-FX Rates'!$H$13</f>
        <v>0</v>
      </c>
      <c r="I27" s="724">
        <f>+'5.1 Inventory (LC)'!H27/'Input-FX Rates'!$H$13</f>
        <v>0</v>
      </c>
      <c r="J27" s="724">
        <f>+'5.1 Inventory (LC)'!I27/'Input-FX Rates'!$H$13</f>
        <v>0</v>
      </c>
      <c r="K27" s="724">
        <f>+'5.1 Inventory (LC)'!J27/'Input-FX Rates'!$H$13</f>
        <v>0</v>
      </c>
      <c r="L27" s="724">
        <f>+'5.1 Inventory (LC)'!K27/'Input-FX Rates'!$H$13</f>
        <v>0</v>
      </c>
      <c r="M27" s="724">
        <f>+'5.1 Inventory (LC)'!L27/'Input-FX Rates'!$H$13</f>
        <v>0</v>
      </c>
      <c r="N27" s="724">
        <f>+'5.1 Inventory (LC)'!M27/'Input-FX Rates'!$H$13</f>
        <v>0</v>
      </c>
      <c r="O27" s="724">
        <f>+'5.1 Inventory (LC)'!N27/'Input-FX Rates'!$H$13</f>
        <v>0</v>
      </c>
      <c r="P27" s="724">
        <f>+'5.1 Inventory (LC)'!O27/'Input-FX Rates'!$H$13</f>
        <v>0</v>
      </c>
      <c r="Q27" s="726">
        <f>+'5.1 Inventory (LC)'!P27/'Input-FX Rates'!$H$13</f>
        <v>0</v>
      </c>
      <c r="R27" s="727">
        <f t="shared" si="1"/>
        <v>0</v>
      </c>
      <c r="S27" s="889" t="str">
        <f>IF(ISBLANK('5.1 Inventory (LC)'!R27),"",'5.1 Inventory (LC)'!R27)</f>
        <v/>
      </c>
    </row>
    <row r="28" spans="1:19" x14ac:dyDescent="0.25">
      <c r="A28" s="1033"/>
      <c r="B28" s="717" t="s">
        <v>567</v>
      </c>
      <c r="C28" s="723">
        <f>+'5.1 Inventory (LC)'!C28/'Input-FX Rates'!$E$13</f>
        <v>0</v>
      </c>
      <c r="D28" s="803">
        <f>+'5.1 Inventory (LC)'!D28/'Input-FX Rates'!$G$13</f>
        <v>0</v>
      </c>
      <c r="E28" s="803">
        <f>+'5.1 Inventory (LC)'!D28/'Input-FX Rates'!$H$13</f>
        <v>0</v>
      </c>
      <c r="F28" s="808">
        <f>+'5.1 Inventory (LC)'!E28/'Input-FX Rates'!$H$13</f>
        <v>0</v>
      </c>
      <c r="G28" s="724">
        <f>+'5.1 Inventory (LC)'!F28/'Input-FX Rates'!$H$13</f>
        <v>0</v>
      </c>
      <c r="H28" s="724">
        <f>+'5.1 Inventory (LC)'!G28/'Input-FX Rates'!$H$13</f>
        <v>0</v>
      </c>
      <c r="I28" s="724">
        <f>+'5.1 Inventory (LC)'!H28/'Input-FX Rates'!$H$13</f>
        <v>0</v>
      </c>
      <c r="J28" s="724">
        <f>+'5.1 Inventory (LC)'!I28/'Input-FX Rates'!$H$13</f>
        <v>0</v>
      </c>
      <c r="K28" s="724">
        <f>+'5.1 Inventory (LC)'!J28/'Input-FX Rates'!$H$13</f>
        <v>0</v>
      </c>
      <c r="L28" s="724">
        <f>+'5.1 Inventory (LC)'!K28/'Input-FX Rates'!$H$13</f>
        <v>0</v>
      </c>
      <c r="M28" s="724">
        <f>+'5.1 Inventory (LC)'!L28/'Input-FX Rates'!$H$13</f>
        <v>0</v>
      </c>
      <c r="N28" s="724">
        <f>+'5.1 Inventory (LC)'!M28/'Input-FX Rates'!$H$13</f>
        <v>0</v>
      </c>
      <c r="O28" s="724">
        <f>+'5.1 Inventory (LC)'!N28/'Input-FX Rates'!$H$13</f>
        <v>0</v>
      </c>
      <c r="P28" s="724">
        <f>+'5.1 Inventory (LC)'!O28/'Input-FX Rates'!$H$13</f>
        <v>0</v>
      </c>
      <c r="Q28" s="726">
        <f>+'5.1 Inventory (LC)'!P28/'Input-FX Rates'!$H$13</f>
        <v>0</v>
      </c>
      <c r="R28" s="727">
        <f t="shared" si="1"/>
        <v>0</v>
      </c>
      <c r="S28" s="889" t="str">
        <f>IF(ISBLANK('5.1 Inventory (LC)'!R28),"",'5.1 Inventory (LC)'!R28)</f>
        <v/>
      </c>
    </row>
    <row r="29" spans="1:19" x14ac:dyDescent="0.25">
      <c r="A29" s="1033"/>
      <c r="B29" s="717" t="s">
        <v>561</v>
      </c>
      <c r="C29" s="723">
        <f>+'5.1 Inventory (LC)'!C29/'Input-FX Rates'!$E$13</f>
        <v>0</v>
      </c>
      <c r="D29" s="803">
        <f>+'5.1 Inventory (LC)'!D29/'Input-FX Rates'!$G$13</f>
        <v>0</v>
      </c>
      <c r="E29" s="803">
        <f>+'5.1 Inventory (LC)'!D29/'Input-FX Rates'!$H$13</f>
        <v>0</v>
      </c>
      <c r="F29" s="808">
        <f>+'5.1 Inventory (LC)'!E29/'Input-FX Rates'!$H$13</f>
        <v>0</v>
      </c>
      <c r="G29" s="724">
        <f>+'5.1 Inventory (LC)'!F29/'Input-FX Rates'!$H$13</f>
        <v>0</v>
      </c>
      <c r="H29" s="724">
        <f>+'5.1 Inventory (LC)'!G29/'Input-FX Rates'!$H$13</f>
        <v>0</v>
      </c>
      <c r="I29" s="724">
        <f>+'5.1 Inventory (LC)'!H29/'Input-FX Rates'!$H$13</f>
        <v>0</v>
      </c>
      <c r="J29" s="724">
        <f>+'5.1 Inventory (LC)'!I29/'Input-FX Rates'!$H$13</f>
        <v>0</v>
      </c>
      <c r="K29" s="724">
        <f>+'5.1 Inventory (LC)'!J29/'Input-FX Rates'!$H$13</f>
        <v>0</v>
      </c>
      <c r="L29" s="724">
        <f>+'5.1 Inventory (LC)'!K29/'Input-FX Rates'!$H$13</f>
        <v>0</v>
      </c>
      <c r="M29" s="724">
        <f>+'5.1 Inventory (LC)'!L29/'Input-FX Rates'!$H$13</f>
        <v>0</v>
      </c>
      <c r="N29" s="724">
        <f>+'5.1 Inventory (LC)'!M29/'Input-FX Rates'!$H$13</f>
        <v>0</v>
      </c>
      <c r="O29" s="724">
        <f>+'5.1 Inventory (LC)'!N29/'Input-FX Rates'!$H$13</f>
        <v>0</v>
      </c>
      <c r="P29" s="724">
        <f>+'5.1 Inventory (LC)'!O29/'Input-FX Rates'!$H$13</f>
        <v>0</v>
      </c>
      <c r="Q29" s="726">
        <f>+'5.1 Inventory (LC)'!P29/'Input-FX Rates'!$H$13</f>
        <v>0</v>
      </c>
      <c r="R29" s="727">
        <f t="shared" si="1"/>
        <v>0</v>
      </c>
      <c r="S29" s="889" t="str">
        <f>IF(ISBLANK('5.1 Inventory (LC)'!R29),"",'5.1 Inventory (LC)'!R29)</f>
        <v/>
      </c>
    </row>
    <row r="30" spans="1:19" x14ac:dyDescent="0.25">
      <c r="A30" s="1033"/>
      <c r="B30" s="717" t="s">
        <v>569</v>
      </c>
      <c r="C30" s="723">
        <f>+'5.1 Inventory (LC)'!C30/'Input-FX Rates'!$E$13</f>
        <v>0</v>
      </c>
      <c r="D30" s="803">
        <f>+'5.1 Inventory (LC)'!D30/'Input-FX Rates'!$G$13</f>
        <v>0</v>
      </c>
      <c r="E30" s="803">
        <f>+'5.1 Inventory (LC)'!D30/'Input-FX Rates'!$H$13</f>
        <v>0</v>
      </c>
      <c r="F30" s="808">
        <f>+'5.1 Inventory (LC)'!E30/'Input-FX Rates'!$H$13</f>
        <v>0</v>
      </c>
      <c r="G30" s="724">
        <f>+'5.1 Inventory (LC)'!F30/'Input-FX Rates'!$H$13</f>
        <v>0</v>
      </c>
      <c r="H30" s="724">
        <f>+'5.1 Inventory (LC)'!G30/'Input-FX Rates'!$H$13</f>
        <v>0</v>
      </c>
      <c r="I30" s="724">
        <f>+'5.1 Inventory (LC)'!H30/'Input-FX Rates'!$H$13</f>
        <v>0</v>
      </c>
      <c r="J30" s="724">
        <f>+'5.1 Inventory (LC)'!I30/'Input-FX Rates'!$H$13</f>
        <v>0</v>
      </c>
      <c r="K30" s="724">
        <f>+'5.1 Inventory (LC)'!J30/'Input-FX Rates'!$H$13</f>
        <v>0</v>
      </c>
      <c r="L30" s="724">
        <f>+'5.1 Inventory (LC)'!K30/'Input-FX Rates'!$H$13</f>
        <v>0</v>
      </c>
      <c r="M30" s="724">
        <f>+'5.1 Inventory (LC)'!L30/'Input-FX Rates'!$H$13</f>
        <v>0</v>
      </c>
      <c r="N30" s="724">
        <f>+'5.1 Inventory (LC)'!M30/'Input-FX Rates'!$H$13</f>
        <v>0</v>
      </c>
      <c r="O30" s="724">
        <f>+'5.1 Inventory (LC)'!N30/'Input-FX Rates'!$H$13</f>
        <v>0</v>
      </c>
      <c r="P30" s="724">
        <f>+'5.1 Inventory (LC)'!O30/'Input-FX Rates'!$H$13</f>
        <v>0</v>
      </c>
      <c r="Q30" s="726">
        <f>+'5.1 Inventory (LC)'!P30/'Input-FX Rates'!$H$13</f>
        <v>0</v>
      </c>
      <c r="R30" s="727">
        <f t="shared" si="1"/>
        <v>0</v>
      </c>
      <c r="S30" s="889" t="str">
        <f>IF(ISBLANK('5.1 Inventory (LC)'!R30),"",'5.1 Inventory (LC)'!R30)</f>
        <v/>
      </c>
    </row>
    <row r="31" spans="1:19" x14ac:dyDescent="0.25">
      <c r="A31" s="1033"/>
      <c r="B31" s="717" t="s">
        <v>570</v>
      </c>
      <c r="C31" s="723">
        <f>+'5.1 Inventory (LC)'!C31/'Input-FX Rates'!$E$13</f>
        <v>0</v>
      </c>
      <c r="D31" s="803">
        <f>+'5.1 Inventory (LC)'!D31/'Input-FX Rates'!$G$13</f>
        <v>0</v>
      </c>
      <c r="E31" s="803">
        <f>+'5.1 Inventory (LC)'!D31/'Input-FX Rates'!$H$13</f>
        <v>0</v>
      </c>
      <c r="F31" s="808">
        <f>+'5.1 Inventory (LC)'!E31/'Input-FX Rates'!$H$13</f>
        <v>0</v>
      </c>
      <c r="G31" s="724">
        <f>+'5.1 Inventory (LC)'!F31/'Input-FX Rates'!$H$13</f>
        <v>0</v>
      </c>
      <c r="H31" s="724">
        <f>+'5.1 Inventory (LC)'!G31/'Input-FX Rates'!$H$13</f>
        <v>0</v>
      </c>
      <c r="I31" s="724">
        <f>+'5.1 Inventory (LC)'!H31/'Input-FX Rates'!$H$13</f>
        <v>0</v>
      </c>
      <c r="J31" s="724">
        <f>+'5.1 Inventory (LC)'!I31/'Input-FX Rates'!$H$13</f>
        <v>0</v>
      </c>
      <c r="K31" s="724">
        <f>+'5.1 Inventory (LC)'!J31/'Input-FX Rates'!$H$13</f>
        <v>0</v>
      </c>
      <c r="L31" s="724">
        <f>+'5.1 Inventory (LC)'!K31/'Input-FX Rates'!$H$13</f>
        <v>0</v>
      </c>
      <c r="M31" s="724">
        <f>+'5.1 Inventory (LC)'!L31/'Input-FX Rates'!$H$13</f>
        <v>0</v>
      </c>
      <c r="N31" s="724">
        <f>+'5.1 Inventory (LC)'!M31/'Input-FX Rates'!$H$13</f>
        <v>0</v>
      </c>
      <c r="O31" s="724">
        <f>+'5.1 Inventory (LC)'!N31/'Input-FX Rates'!$H$13</f>
        <v>0</v>
      </c>
      <c r="P31" s="724">
        <f>+'5.1 Inventory (LC)'!O31/'Input-FX Rates'!$H$13</f>
        <v>0</v>
      </c>
      <c r="Q31" s="726">
        <f>+'5.1 Inventory (LC)'!P31/'Input-FX Rates'!$H$13</f>
        <v>0</v>
      </c>
      <c r="R31" s="727">
        <f t="shared" si="1"/>
        <v>0</v>
      </c>
      <c r="S31" s="889" t="str">
        <f>IF(ISBLANK('5.1 Inventory (LC)'!R31),"",'5.1 Inventory (LC)'!R31)</f>
        <v/>
      </c>
    </row>
    <row r="32" spans="1:19" ht="15.75" x14ac:dyDescent="0.25">
      <c r="A32" s="213" t="s">
        <v>574</v>
      </c>
      <c r="B32" s="214"/>
      <c r="C32" s="78">
        <f>+'5.1 Inventory (LC)'!C32/'Input-FX Rates'!$E$13</f>
        <v>258.02269533789593</v>
      </c>
      <c r="D32" s="78">
        <f>+'5.1 Inventory (LC)'!D32/'Input-FX Rates'!$G$13</f>
        <v>2046.9756817542873</v>
      </c>
      <c r="E32" s="78">
        <f>+'5.1 Inventory (LC)'!D32/'Input-FX Rates'!$H$13</f>
        <v>2008.5772413793104</v>
      </c>
      <c r="F32" s="806">
        <f t="shared" ref="F32:Q32" si="3">SUM(F33:F43)</f>
        <v>1738.5171299770116</v>
      </c>
      <c r="G32" s="78">
        <f t="shared" si="3"/>
        <v>1697.3616215862069</v>
      </c>
      <c r="H32" s="78">
        <f t="shared" si="3"/>
        <v>1544.1994667126437</v>
      </c>
      <c r="I32" s="78">
        <f t="shared" si="3"/>
        <v>1401.1228291954023</v>
      </c>
      <c r="J32" s="78">
        <f t="shared" si="3"/>
        <v>1294.6210570114943</v>
      </c>
      <c r="K32" s="78">
        <f t="shared" si="3"/>
        <v>1208.9770344712642</v>
      </c>
      <c r="L32" s="78">
        <f t="shared" si="3"/>
        <v>1113.8030906206898</v>
      </c>
      <c r="M32" s="78">
        <f t="shared" si="3"/>
        <v>998.13126274712636</v>
      </c>
      <c r="N32" s="78">
        <f t="shared" si="3"/>
        <v>833.30477756321841</v>
      </c>
      <c r="O32" s="78">
        <f t="shared" si="3"/>
        <v>743.25224924137933</v>
      </c>
      <c r="P32" s="78">
        <f t="shared" si="3"/>
        <v>729.30533543678166</v>
      </c>
      <c r="Q32" s="80">
        <f t="shared" si="3"/>
        <v>627.69851903448262</v>
      </c>
      <c r="R32" s="80">
        <f t="shared" si="1"/>
        <v>1160.8578644664751</v>
      </c>
      <c r="S32" s="400" t="str">
        <f>IF(ISBLANK('5.1 Inventory (LC)'!R32),"",'5.1 Inventory (LC)'!R32)</f>
        <v/>
      </c>
    </row>
    <row r="33" spans="1:19" x14ac:dyDescent="0.25">
      <c r="A33" s="1034" t="s">
        <v>557</v>
      </c>
      <c r="B33" s="712" t="s">
        <v>575</v>
      </c>
      <c r="C33" s="332">
        <f>+'5.1 Inventory (LC)'!C33/'Input-FX Rates'!$E$13</f>
        <v>258.02269533789593</v>
      </c>
      <c r="D33" s="222">
        <f>+'5.1 Inventory (LC)'!D33/'Input-FX Rates'!$G$13</f>
        <v>500.72884453190892</v>
      </c>
      <c r="E33" s="222">
        <f>+'5.1 Inventory (LC)'!D33/'Input-FX Rates'!$H$13</f>
        <v>491.33586206896553</v>
      </c>
      <c r="F33" s="807">
        <f>+'5.1 Inventory (LC)'!E33/'Input-FX Rates'!$H$13</f>
        <v>162.18708859770112</v>
      </c>
      <c r="G33" s="719">
        <f>+'5.1 Inventory (LC)'!F33/'Input-FX Rates'!$H$13</f>
        <v>231.57132572413795</v>
      </c>
      <c r="H33" s="720">
        <f>+'5.1 Inventory (LC)'!G33/'Input-FX Rates'!$H$13</f>
        <v>188.94891705747125</v>
      </c>
      <c r="I33" s="720">
        <f>+'5.1 Inventory (LC)'!H33/'Input-FX Rates'!$H$13</f>
        <v>156.41202505747125</v>
      </c>
      <c r="J33" s="720">
        <f>+'5.1 Inventory (LC)'!I33/'Input-FX Rates'!$H$13</f>
        <v>160.44999839080461</v>
      </c>
      <c r="K33" s="720">
        <f>+'5.1 Inventory (LC)'!J33/'Input-FX Rates'!$H$13</f>
        <v>185.34572205747125</v>
      </c>
      <c r="L33" s="720">
        <f>+'5.1 Inventory (LC)'!K33/'Input-FX Rates'!$H$13</f>
        <v>200.71152372413783</v>
      </c>
      <c r="M33" s="720">
        <f>+'5.1 Inventory (LC)'!L33/'Input-FX Rates'!$H$13</f>
        <v>195.57944205747131</v>
      </c>
      <c r="N33" s="720">
        <f>+'5.1 Inventory (LC)'!M33/'Input-FX Rates'!$H$13</f>
        <v>141.29270239080458</v>
      </c>
      <c r="O33" s="720">
        <f>+'5.1 Inventory (LC)'!N33/'Input-FX Rates'!$H$13</f>
        <v>161.7799197241379</v>
      </c>
      <c r="P33" s="720">
        <f>+'5.1 Inventory (LC)'!O33/'Input-FX Rates'!$H$13</f>
        <v>195.57606205747129</v>
      </c>
      <c r="Q33" s="721">
        <f>+'5.1 Inventory (LC)'!P33/'Input-FX Rates'!$H$13</f>
        <v>137.19377972413787</v>
      </c>
      <c r="R33" s="716">
        <f t="shared" si="1"/>
        <v>176.42070888026819</v>
      </c>
      <c r="S33" s="888" t="str">
        <f>IF(ISBLANK('5.1 Inventory (LC)'!R33),"",'5.1 Inventory (LC)'!R33)</f>
        <v/>
      </c>
    </row>
    <row r="34" spans="1:19" x14ac:dyDescent="0.25">
      <c r="A34" s="1034"/>
      <c r="B34" s="712" t="s">
        <v>576</v>
      </c>
      <c r="C34" s="332">
        <f>+'5.1 Inventory (LC)'!C34/'Input-FX Rates'!$E$13</f>
        <v>0</v>
      </c>
      <c r="D34" s="222">
        <f>+'5.1 Inventory (LC)'!D34/'Input-FX Rates'!$G$13</f>
        <v>0</v>
      </c>
      <c r="E34" s="222">
        <f>+'5.1 Inventory (LC)'!D34/'Input-FX Rates'!$H$13</f>
        <v>0</v>
      </c>
      <c r="F34" s="807">
        <f>+'5.1 Inventory (LC)'!E34/'Input-FX Rates'!$H$13</f>
        <v>0</v>
      </c>
      <c r="G34" s="719">
        <f>+'5.1 Inventory (LC)'!F34/'Input-FX Rates'!$H$13</f>
        <v>0</v>
      </c>
      <c r="H34" s="720">
        <f>+'5.1 Inventory (LC)'!G34/'Input-FX Rates'!$H$13</f>
        <v>0</v>
      </c>
      <c r="I34" s="720">
        <f>+'5.1 Inventory (LC)'!H34/'Input-FX Rates'!$H$13</f>
        <v>0</v>
      </c>
      <c r="J34" s="720">
        <f>+'5.1 Inventory (LC)'!I34/'Input-FX Rates'!$H$13</f>
        <v>0</v>
      </c>
      <c r="K34" s="720">
        <f>+'5.1 Inventory (LC)'!J34/'Input-FX Rates'!$H$13</f>
        <v>0</v>
      </c>
      <c r="L34" s="720">
        <f>+'5.1 Inventory (LC)'!K34/'Input-FX Rates'!$H$13</f>
        <v>0</v>
      </c>
      <c r="M34" s="720">
        <f>+'5.1 Inventory (LC)'!L34/'Input-FX Rates'!$H$13</f>
        <v>0</v>
      </c>
      <c r="N34" s="720">
        <f>+'5.1 Inventory (LC)'!M34/'Input-FX Rates'!$H$13</f>
        <v>0</v>
      </c>
      <c r="O34" s="720">
        <f>+'5.1 Inventory (LC)'!N34/'Input-FX Rates'!$H$13</f>
        <v>0</v>
      </c>
      <c r="P34" s="720">
        <f>+'5.1 Inventory (LC)'!O34/'Input-FX Rates'!$H$13</f>
        <v>0</v>
      </c>
      <c r="Q34" s="721">
        <f>+'5.1 Inventory (LC)'!P34/'Input-FX Rates'!$H$13</f>
        <v>0</v>
      </c>
      <c r="R34" s="716">
        <f t="shared" si="1"/>
        <v>0</v>
      </c>
      <c r="S34" s="888" t="str">
        <f>IF(ISBLANK('5.1 Inventory (LC)'!R34),"",'5.1 Inventory (LC)'!R34)</f>
        <v/>
      </c>
    </row>
    <row r="35" spans="1:19" x14ac:dyDescent="0.25">
      <c r="A35" s="1034"/>
      <c r="B35" s="712" t="s">
        <v>561</v>
      </c>
      <c r="C35" s="332">
        <f>+'5.1 Inventory (LC)'!C35/'Input-FX Rates'!$E$13</f>
        <v>0</v>
      </c>
      <c r="D35" s="222">
        <f>+'5.1 Inventory (LC)'!D35/'Input-FX Rates'!$G$13</f>
        <v>0</v>
      </c>
      <c r="E35" s="222">
        <f>+'5.1 Inventory (LC)'!D35/'Input-FX Rates'!$H$13</f>
        <v>0</v>
      </c>
      <c r="F35" s="807">
        <f>+'5.1 Inventory (LC)'!E35/'Input-FX Rates'!$H$13</f>
        <v>0</v>
      </c>
      <c r="G35" s="719">
        <f>+'5.1 Inventory (LC)'!F35/'Input-FX Rates'!$H$13</f>
        <v>0</v>
      </c>
      <c r="H35" s="720">
        <f>+'5.1 Inventory (LC)'!G35/'Input-FX Rates'!$H$13</f>
        <v>0</v>
      </c>
      <c r="I35" s="720">
        <f>+'5.1 Inventory (LC)'!H35/'Input-FX Rates'!$H$13</f>
        <v>0</v>
      </c>
      <c r="J35" s="720">
        <f>+'5.1 Inventory (LC)'!I35/'Input-FX Rates'!$H$13</f>
        <v>0</v>
      </c>
      <c r="K35" s="720">
        <f>+'5.1 Inventory (LC)'!J35/'Input-FX Rates'!$H$13</f>
        <v>0</v>
      </c>
      <c r="L35" s="720">
        <f>+'5.1 Inventory (LC)'!K35/'Input-FX Rates'!$H$13</f>
        <v>0</v>
      </c>
      <c r="M35" s="720">
        <f>+'5.1 Inventory (LC)'!L35/'Input-FX Rates'!$H$13</f>
        <v>0</v>
      </c>
      <c r="N35" s="720">
        <f>+'5.1 Inventory (LC)'!M35/'Input-FX Rates'!$H$13</f>
        <v>0</v>
      </c>
      <c r="O35" s="720">
        <f>+'5.1 Inventory (LC)'!N35/'Input-FX Rates'!$H$13</f>
        <v>0</v>
      </c>
      <c r="P35" s="720">
        <f>+'5.1 Inventory (LC)'!O35/'Input-FX Rates'!$H$13</f>
        <v>0</v>
      </c>
      <c r="Q35" s="721">
        <f>+'5.1 Inventory (LC)'!P35/'Input-FX Rates'!$H$13</f>
        <v>0</v>
      </c>
      <c r="R35" s="716">
        <f t="shared" si="1"/>
        <v>0</v>
      </c>
      <c r="S35" s="888" t="str">
        <f>IF(ISBLANK('5.1 Inventory (LC)'!R35),"",'5.1 Inventory (LC)'!R35)</f>
        <v/>
      </c>
    </row>
    <row r="36" spans="1:19" x14ac:dyDescent="0.25">
      <c r="A36" s="1034"/>
      <c r="B36" s="712" t="s">
        <v>562</v>
      </c>
      <c r="C36" s="332">
        <f>+'5.1 Inventory (LC)'!C36/'Input-FX Rates'!$E$13</f>
        <v>0</v>
      </c>
      <c r="D36" s="222">
        <f>+'5.1 Inventory (LC)'!D36/'Input-FX Rates'!$G$13</f>
        <v>0</v>
      </c>
      <c r="E36" s="222">
        <f>+'5.1 Inventory (LC)'!D36/'Input-FX Rates'!$H$13</f>
        <v>0</v>
      </c>
      <c r="F36" s="807">
        <f>+'5.1 Inventory (LC)'!E36/'Input-FX Rates'!$H$13</f>
        <v>0</v>
      </c>
      <c r="G36" s="719">
        <f>+'5.1 Inventory (LC)'!F36/'Input-FX Rates'!$H$13</f>
        <v>0</v>
      </c>
      <c r="H36" s="720">
        <f>+'5.1 Inventory (LC)'!G36/'Input-FX Rates'!$H$13</f>
        <v>0</v>
      </c>
      <c r="I36" s="720">
        <f>+'5.1 Inventory (LC)'!H36/'Input-FX Rates'!$H$13</f>
        <v>0</v>
      </c>
      <c r="J36" s="720">
        <f>+'5.1 Inventory (LC)'!I36/'Input-FX Rates'!$H$13</f>
        <v>0</v>
      </c>
      <c r="K36" s="720">
        <f>+'5.1 Inventory (LC)'!J36/'Input-FX Rates'!$H$13</f>
        <v>0</v>
      </c>
      <c r="L36" s="720">
        <f>+'5.1 Inventory (LC)'!K36/'Input-FX Rates'!$H$13</f>
        <v>0</v>
      </c>
      <c r="M36" s="720">
        <f>+'5.1 Inventory (LC)'!L36/'Input-FX Rates'!$H$13</f>
        <v>0</v>
      </c>
      <c r="N36" s="720">
        <f>+'5.1 Inventory (LC)'!M36/'Input-FX Rates'!$H$13</f>
        <v>0</v>
      </c>
      <c r="O36" s="720">
        <f>+'5.1 Inventory (LC)'!N36/'Input-FX Rates'!$H$13</f>
        <v>0</v>
      </c>
      <c r="P36" s="720">
        <f>+'5.1 Inventory (LC)'!O36/'Input-FX Rates'!$H$13</f>
        <v>0</v>
      </c>
      <c r="Q36" s="721">
        <f>+'5.1 Inventory (LC)'!P36/'Input-FX Rates'!$H$13</f>
        <v>0</v>
      </c>
      <c r="R36" s="716">
        <f t="shared" si="1"/>
        <v>0</v>
      </c>
      <c r="S36" s="888" t="str">
        <f>IF(ISBLANK('5.1 Inventory (LC)'!R36),"",'5.1 Inventory (LC)'!R36)</f>
        <v/>
      </c>
    </row>
    <row r="37" spans="1:19" x14ac:dyDescent="0.25">
      <c r="A37" s="1033" t="s">
        <v>563</v>
      </c>
      <c r="B37" s="717" t="s">
        <v>564</v>
      </c>
      <c r="C37" s="723">
        <f>+'5.1 Inventory (LC)'!C37/'Input-FX Rates'!$E$13</f>
        <v>0</v>
      </c>
      <c r="D37" s="803">
        <f>+'5.1 Inventory (LC)'!D37/'Input-FX Rates'!$G$13</f>
        <v>0</v>
      </c>
      <c r="E37" s="803">
        <f>+'5.1 Inventory (LC)'!D37/'Input-FX Rates'!$H$13</f>
        <v>0</v>
      </c>
      <c r="F37" s="808">
        <f>+'5.1 Inventory (LC)'!E37/'Input-FX Rates'!$H$13</f>
        <v>0</v>
      </c>
      <c r="G37" s="724">
        <f>+'5.1 Inventory (LC)'!F37/'Input-FX Rates'!$H$13</f>
        <v>0</v>
      </c>
      <c r="H37" s="725">
        <f>+'5.1 Inventory (LC)'!G37/'Input-FX Rates'!$H$13</f>
        <v>0</v>
      </c>
      <c r="I37" s="725">
        <f>+'5.1 Inventory (LC)'!H37/'Input-FX Rates'!$H$13</f>
        <v>0</v>
      </c>
      <c r="J37" s="725">
        <f>+'5.1 Inventory (LC)'!I37/'Input-FX Rates'!$H$13</f>
        <v>0</v>
      </c>
      <c r="K37" s="725">
        <f>+'5.1 Inventory (LC)'!J37/'Input-FX Rates'!$H$13</f>
        <v>0</v>
      </c>
      <c r="L37" s="725">
        <f>+'5.1 Inventory (LC)'!K37/'Input-FX Rates'!$H$13</f>
        <v>0</v>
      </c>
      <c r="M37" s="725">
        <f>+'5.1 Inventory (LC)'!L37/'Input-FX Rates'!$H$13</f>
        <v>0</v>
      </c>
      <c r="N37" s="725">
        <f>+'5.1 Inventory (LC)'!M37/'Input-FX Rates'!$H$13</f>
        <v>0</v>
      </c>
      <c r="O37" s="725">
        <f>+'5.1 Inventory (LC)'!N37/'Input-FX Rates'!$H$13</f>
        <v>0</v>
      </c>
      <c r="P37" s="725">
        <f>+'5.1 Inventory (LC)'!O37/'Input-FX Rates'!$H$13</f>
        <v>0</v>
      </c>
      <c r="Q37" s="726">
        <f>+'5.1 Inventory (LC)'!P37/'Input-FX Rates'!$H$13</f>
        <v>0</v>
      </c>
      <c r="R37" s="727">
        <f t="shared" si="1"/>
        <v>0</v>
      </c>
      <c r="S37" s="889" t="str">
        <f>IF(ISBLANK('5.1 Inventory (LC)'!R37),"",'5.1 Inventory (LC)'!R37)</f>
        <v/>
      </c>
    </row>
    <row r="38" spans="1:19" x14ac:dyDescent="0.25">
      <c r="A38" s="1033"/>
      <c r="B38" s="717" t="s">
        <v>567</v>
      </c>
      <c r="C38" s="723">
        <f>+'5.1 Inventory (LC)'!C38/'Input-FX Rates'!$E$13</f>
        <v>0</v>
      </c>
      <c r="D38" s="803">
        <f>+'5.1 Inventory (LC)'!D38/'Input-FX Rates'!$G$13</f>
        <v>0</v>
      </c>
      <c r="E38" s="803">
        <f>+'5.1 Inventory (LC)'!D38/'Input-FX Rates'!$H$13</f>
        <v>0</v>
      </c>
      <c r="F38" s="808">
        <f>+'5.1 Inventory (LC)'!E38/'Input-FX Rates'!$H$13</f>
        <v>0</v>
      </c>
      <c r="G38" s="724">
        <f>+'5.1 Inventory (LC)'!F38/'Input-FX Rates'!$H$13</f>
        <v>0</v>
      </c>
      <c r="H38" s="725">
        <f>+'5.1 Inventory (LC)'!G38/'Input-FX Rates'!$H$13</f>
        <v>0</v>
      </c>
      <c r="I38" s="725">
        <f>+'5.1 Inventory (LC)'!H38/'Input-FX Rates'!$H$13</f>
        <v>0</v>
      </c>
      <c r="J38" s="725">
        <f>+'5.1 Inventory (LC)'!I38/'Input-FX Rates'!$H$13</f>
        <v>0</v>
      </c>
      <c r="K38" s="725">
        <f>+'5.1 Inventory (LC)'!J38/'Input-FX Rates'!$H$13</f>
        <v>0</v>
      </c>
      <c r="L38" s="725">
        <f>+'5.1 Inventory (LC)'!K38/'Input-FX Rates'!$H$13</f>
        <v>0</v>
      </c>
      <c r="M38" s="725">
        <f>+'5.1 Inventory (LC)'!L38/'Input-FX Rates'!$H$13</f>
        <v>0</v>
      </c>
      <c r="N38" s="725">
        <f>+'5.1 Inventory (LC)'!M38/'Input-FX Rates'!$H$13</f>
        <v>0</v>
      </c>
      <c r="O38" s="725">
        <f>+'5.1 Inventory (LC)'!N38/'Input-FX Rates'!$H$13</f>
        <v>0</v>
      </c>
      <c r="P38" s="725">
        <f>+'5.1 Inventory (LC)'!O38/'Input-FX Rates'!$H$13</f>
        <v>0</v>
      </c>
      <c r="Q38" s="726">
        <f>+'5.1 Inventory (LC)'!P38/'Input-FX Rates'!$H$13</f>
        <v>0</v>
      </c>
      <c r="R38" s="727">
        <f t="shared" si="1"/>
        <v>0</v>
      </c>
      <c r="S38" s="889" t="str">
        <f>IF(ISBLANK('5.1 Inventory (LC)'!R38),"",'5.1 Inventory (LC)'!R38)</f>
        <v/>
      </c>
    </row>
    <row r="39" spans="1:19" x14ac:dyDescent="0.25">
      <c r="A39" s="1033"/>
      <c r="B39" s="717" t="s">
        <v>561</v>
      </c>
      <c r="C39" s="723">
        <f>+'5.1 Inventory (LC)'!C39/'Input-FX Rates'!$E$13</f>
        <v>0</v>
      </c>
      <c r="D39" s="803">
        <f>+'5.1 Inventory (LC)'!D39/'Input-FX Rates'!$G$13</f>
        <v>0</v>
      </c>
      <c r="E39" s="803">
        <f>+'5.1 Inventory (LC)'!D39/'Input-FX Rates'!$H$13</f>
        <v>0</v>
      </c>
      <c r="F39" s="808">
        <f>+'5.1 Inventory (LC)'!E39/'Input-FX Rates'!$H$13</f>
        <v>0</v>
      </c>
      <c r="G39" s="724">
        <f>+'5.1 Inventory (LC)'!F39/'Input-FX Rates'!$H$13</f>
        <v>0</v>
      </c>
      <c r="H39" s="725">
        <f>+'5.1 Inventory (LC)'!G39/'Input-FX Rates'!$H$13</f>
        <v>0</v>
      </c>
      <c r="I39" s="725">
        <f>+'5.1 Inventory (LC)'!H39/'Input-FX Rates'!$H$13</f>
        <v>0</v>
      </c>
      <c r="J39" s="725">
        <f>+'5.1 Inventory (LC)'!I39/'Input-FX Rates'!$H$13</f>
        <v>0</v>
      </c>
      <c r="K39" s="725">
        <f>+'5.1 Inventory (LC)'!J39/'Input-FX Rates'!$H$13</f>
        <v>0</v>
      </c>
      <c r="L39" s="725">
        <f>+'5.1 Inventory (LC)'!K39/'Input-FX Rates'!$H$13</f>
        <v>0</v>
      </c>
      <c r="M39" s="725">
        <f>+'5.1 Inventory (LC)'!L39/'Input-FX Rates'!$H$13</f>
        <v>0</v>
      </c>
      <c r="N39" s="725">
        <f>+'5.1 Inventory (LC)'!M39/'Input-FX Rates'!$H$13</f>
        <v>0</v>
      </c>
      <c r="O39" s="725">
        <f>+'5.1 Inventory (LC)'!N39/'Input-FX Rates'!$H$13</f>
        <v>0</v>
      </c>
      <c r="P39" s="725">
        <f>+'5.1 Inventory (LC)'!O39/'Input-FX Rates'!$H$13</f>
        <v>0</v>
      </c>
      <c r="Q39" s="726">
        <f>+'5.1 Inventory (LC)'!P39/'Input-FX Rates'!$H$13</f>
        <v>0</v>
      </c>
      <c r="R39" s="727">
        <f t="shared" si="1"/>
        <v>0</v>
      </c>
      <c r="S39" s="889" t="str">
        <f>IF(ISBLANK('5.1 Inventory (LC)'!R39),"",'5.1 Inventory (LC)'!R39)</f>
        <v/>
      </c>
    </row>
    <row r="40" spans="1:19" x14ac:dyDescent="0.25">
      <c r="A40" s="1033"/>
      <c r="B40" s="717" t="s">
        <v>577</v>
      </c>
      <c r="C40" s="723">
        <f>+'5.1 Inventory (LC)'!C40/'Input-FX Rates'!$E$13</f>
        <v>0</v>
      </c>
      <c r="D40" s="803">
        <f>+'5.1 Inventory (LC)'!D40/'Input-FX Rates'!$G$13</f>
        <v>1546.2468372223784</v>
      </c>
      <c r="E40" s="803">
        <f>+'5.1 Inventory (LC)'!D40/'Input-FX Rates'!$H$13</f>
        <v>1517.2413793103449</v>
      </c>
      <c r="F40" s="808">
        <f>+'5.1 Inventory (LC)'!E40/'Input-FX Rates'!$H$13</f>
        <v>1576.3300413793104</v>
      </c>
      <c r="G40" s="724">
        <f>+'5.1 Inventory (LC)'!F40/'Input-FX Rates'!$H$13</f>
        <v>1465.7902958620689</v>
      </c>
      <c r="H40" s="725">
        <f>+'5.1 Inventory (LC)'!G40/'Input-FX Rates'!$H$13</f>
        <v>1355.2505496551723</v>
      </c>
      <c r="I40" s="725">
        <f>+'5.1 Inventory (LC)'!H40/'Input-FX Rates'!$H$13</f>
        <v>1244.7108041379311</v>
      </c>
      <c r="J40" s="725">
        <f>+'5.1 Inventory (LC)'!I40/'Input-FX Rates'!$H$13</f>
        <v>1134.1710586206896</v>
      </c>
      <c r="K40" s="725">
        <f>+'5.1 Inventory (LC)'!J40/'Input-FX Rates'!$H$13</f>
        <v>1023.631312413793</v>
      </c>
      <c r="L40" s="725">
        <f>+'5.1 Inventory (LC)'!K40/'Input-FX Rates'!$H$13</f>
        <v>913.09156689655185</v>
      </c>
      <c r="M40" s="725">
        <f>+'5.1 Inventory (LC)'!L40/'Input-FX Rates'!$H$13</f>
        <v>802.55182068965507</v>
      </c>
      <c r="N40" s="725">
        <f>+'5.1 Inventory (LC)'!M40/'Input-FX Rates'!$H$13</f>
        <v>692.0120751724138</v>
      </c>
      <c r="O40" s="725">
        <f>+'5.1 Inventory (LC)'!N40/'Input-FX Rates'!$H$13</f>
        <v>581.47232951724141</v>
      </c>
      <c r="P40" s="725">
        <f>+'5.1 Inventory (LC)'!O40/'Input-FX Rates'!$H$13</f>
        <v>533.72927337931037</v>
      </c>
      <c r="Q40" s="726">
        <f>+'5.1 Inventory (LC)'!P40/'Input-FX Rates'!$H$13</f>
        <v>490.5047393103448</v>
      </c>
      <c r="R40" s="727">
        <f t="shared" si="1"/>
        <v>984.43715558620704</v>
      </c>
      <c r="S40" s="889" t="str">
        <f>IF(ISBLANK('5.1 Inventory (LC)'!R40),"",'5.1 Inventory (LC)'!R40)</f>
        <v/>
      </c>
    </row>
    <row r="41" spans="1:19" x14ac:dyDescent="0.25">
      <c r="A41" s="1033"/>
      <c r="B41" s="717" t="s">
        <v>562</v>
      </c>
      <c r="C41" s="723">
        <f>+'5.1 Inventory (LC)'!C41/'Input-FX Rates'!$E$13</f>
        <v>0</v>
      </c>
      <c r="D41" s="803">
        <f>+'5.1 Inventory (LC)'!D41/'Input-FX Rates'!$G$13</f>
        <v>0</v>
      </c>
      <c r="E41" s="803">
        <f>+'5.1 Inventory (LC)'!D41/'Input-FX Rates'!$H$13</f>
        <v>0</v>
      </c>
      <c r="F41" s="808">
        <f>+'5.1 Inventory (LC)'!E41/'Input-FX Rates'!$H$13</f>
        <v>0</v>
      </c>
      <c r="G41" s="724">
        <f>+'5.1 Inventory (LC)'!F41/'Input-FX Rates'!$H$13</f>
        <v>0</v>
      </c>
      <c r="H41" s="725">
        <f>+'5.1 Inventory (LC)'!G41/'Input-FX Rates'!$H$13</f>
        <v>0</v>
      </c>
      <c r="I41" s="725">
        <f>+'5.1 Inventory (LC)'!H41/'Input-FX Rates'!$H$13</f>
        <v>0</v>
      </c>
      <c r="J41" s="725">
        <f>+'5.1 Inventory (LC)'!I41/'Input-FX Rates'!$H$13</f>
        <v>0</v>
      </c>
      <c r="K41" s="725">
        <f>+'5.1 Inventory (LC)'!J41/'Input-FX Rates'!$H$13</f>
        <v>0</v>
      </c>
      <c r="L41" s="725">
        <f>+'5.1 Inventory (LC)'!K41/'Input-FX Rates'!$H$13</f>
        <v>0</v>
      </c>
      <c r="M41" s="725">
        <f>+'5.1 Inventory (LC)'!L41/'Input-FX Rates'!$H$13</f>
        <v>0</v>
      </c>
      <c r="N41" s="725">
        <f>+'5.1 Inventory (LC)'!M41/'Input-FX Rates'!$H$13</f>
        <v>0</v>
      </c>
      <c r="O41" s="725">
        <f>+'5.1 Inventory (LC)'!N41/'Input-FX Rates'!$H$13</f>
        <v>0</v>
      </c>
      <c r="P41" s="725">
        <f>+'5.1 Inventory (LC)'!O41/'Input-FX Rates'!$H$13</f>
        <v>0</v>
      </c>
      <c r="Q41" s="726">
        <f>+'5.1 Inventory (LC)'!P41/'Input-FX Rates'!$H$13</f>
        <v>0</v>
      </c>
      <c r="R41" s="727">
        <f t="shared" si="1"/>
        <v>0</v>
      </c>
      <c r="S41" s="889" t="str">
        <f>IF(ISBLANK('5.1 Inventory (LC)'!R41),"",'5.1 Inventory (LC)'!R41)</f>
        <v/>
      </c>
    </row>
    <row r="42" spans="1:19" x14ac:dyDescent="0.25">
      <c r="A42" s="1033"/>
      <c r="B42" s="717" t="s">
        <v>569</v>
      </c>
      <c r="C42" s="723">
        <f>+'5.1 Inventory (LC)'!C42/'Input-FX Rates'!$E$13</f>
        <v>0</v>
      </c>
      <c r="D42" s="803">
        <f>+'5.1 Inventory (LC)'!D42/'Input-FX Rates'!$G$13</f>
        <v>0</v>
      </c>
      <c r="E42" s="803">
        <f>+'5.1 Inventory (LC)'!D42/'Input-FX Rates'!$H$13</f>
        <v>0</v>
      </c>
      <c r="F42" s="808">
        <f>+'5.1 Inventory (LC)'!E42/'Input-FX Rates'!$H$13</f>
        <v>0</v>
      </c>
      <c r="G42" s="724">
        <f>+'5.1 Inventory (LC)'!F42/'Input-FX Rates'!$H$13</f>
        <v>0</v>
      </c>
      <c r="H42" s="725">
        <f>+'5.1 Inventory (LC)'!G42/'Input-FX Rates'!$H$13</f>
        <v>0</v>
      </c>
      <c r="I42" s="725">
        <f>+'5.1 Inventory (LC)'!H42/'Input-FX Rates'!$H$13</f>
        <v>0</v>
      </c>
      <c r="J42" s="725">
        <f>+'5.1 Inventory (LC)'!I42/'Input-FX Rates'!$H$13</f>
        <v>0</v>
      </c>
      <c r="K42" s="725">
        <f>+'5.1 Inventory (LC)'!J42/'Input-FX Rates'!$H$13</f>
        <v>0</v>
      </c>
      <c r="L42" s="725">
        <f>+'5.1 Inventory (LC)'!K42/'Input-FX Rates'!$H$13</f>
        <v>0</v>
      </c>
      <c r="M42" s="725">
        <f>+'5.1 Inventory (LC)'!L42/'Input-FX Rates'!$H$13</f>
        <v>0</v>
      </c>
      <c r="N42" s="725">
        <f>+'5.1 Inventory (LC)'!M42/'Input-FX Rates'!$H$13</f>
        <v>0</v>
      </c>
      <c r="O42" s="725">
        <f>+'5.1 Inventory (LC)'!N42/'Input-FX Rates'!$H$13</f>
        <v>0</v>
      </c>
      <c r="P42" s="725">
        <f>+'5.1 Inventory (LC)'!O42/'Input-FX Rates'!$H$13</f>
        <v>0</v>
      </c>
      <c r="Q42" s="726">
        <f>+'5.1 Inventory (LC)'!P42/'Input-FX Rates'!$H$13</f>
        <v>0</v>
      </c>
      <c r="R42" s="727">
        <f t="shared" si="1"/>
        <v>0</v>
      </c>
      <c r="S42" s="889" t="str">
        <f>IF(ISBLANK('5.1 Inventory (LC)'!R42),"",'5.1 Inventory (LC)'!R42)</f>
        <v/>
      </c>
    </row>
    <row r="43" spans="1:19" x14ac:dyDescent="0.25">
      <c r="A43" s="1033"/>
      <c r="B43" s="717" t="s">
        <v>570</v>
      </c>
      <c r="C43" s="723">
        <f>+'5.1 Inventory (LC)'!C43/'Input-FX Rates'!$E$13</f>
        <v>0</v>
      </c>
      <c r="D43" s="803">
        <f>+'5.1 Inventory (LC)'!D43/'Input-FX Rates'!$G$13</f>
        <v>0</v>
      </c>
      <c r="E43" s="803">
        <f>+'5.1 Inventory (LC)'!D43/'Input-FX Rates'!$H$13</f>
        <v>0</v>
      </c>
      <c r="F43" s="808">
        <f>+'5.1 Inventory (LC)'!E43/'Input-FX Rates'!$H$13</f>
        <v>0</v>
      </c>
      <c r="G43" s="724">
        <f>+'5.1 Inventory (LC)'!F43/'Input-FX Rates'!$H$13</f>
        <v>0</v>
      </c>
      <c r="H43" s="725">
        <f>+'5.1 Inventory (LC)'!G43/'Input-FX Rates'!$H$13</f>
        <v>0</v>
      </c>
      <c r="I43" s="725">
        <f>+'5.1 Inventory (LC)'!H43/'Input-FX Rates'!$H$13</f>
        <v>0</v>
      </c>
      <c r="J43" s="725">
        <f>+'5.1 Inventory (LC)'!I43/'Input-FX Rates'!$H$13</f>
        <v>0</v>
      </c>
      <c r="K43" s="725">
        <f>+'5.1 Inventory (LC)'!J43/'Input-FX Rates'!$H$13</f>
        <v>0</v>
      </c>
      <c r="L43" s="725">
        <f>+'5.1 Inventory (LC)'!K43/'Input-FX Rates'!$H$13</f>
        <v>0</v>
      </c>
      <c r="M43" s="725">
        <f>+'5.1 Inventory (LC)'!L43/'Input-FX Rates'!$H$13</f>
        <v>0</v>
      </c>
      <c r="N43" s="725">
        <f>+'5.1 Inventory (LC)'!M43/'Input-FX Rates'!$H$13</f>
        <v>0</v>
      </c>
      <c r="O43" s="725">
        <f>+'5.1 Inventory (LC)'!N43/'Input-FX Rates'!$H$13</f>
        <v>0</v>
      </c>
      <c r="P43" s="725">
        <f>+'5.1 Inventory (LC)'!O43/'Input-FX Rates'!$H$13</f>
        <v>0</v>
      </c>
      <c r="Q43" s="726">
        <f>+'5.1 Inventory (LC)'!P43/'Input-FX Rates'!$H$13</f>
        <v>0</v>
      </c>
      <c r="R43" s="727">
        <f t="shared" si="1"/>
        <v>0</v>
      </c>
      <c r="S43" s="889" t="str">
        <f>IF(ISBLANK('5.1 Inventory (LC)'!R43),"",'5.1 Inventory (LC)'!R43)</f>
        <v/>
      </c>
    </row>
    <row r="44" spans="1:19" ht="15.75" x14ac:dyDescent="0.25">
      <c r="A44" s="400" t="s">
        <v>578</v>
      </c>
      <c r="B44" s="884"/>
      <c r="C44" s="885">
        <f>+'5.1 Inventory (LC)'!C44/'Input-FX Rates'!$E$13</f>
        <v>0</v>
      </c>
      <c r="D44" s="885">
        <f>+'5.1 Inventory (LC)'!D44/'Input-FX Rates'!$G$13</f>
        <v>0</v>
      </c>
      <c r="E44" s="885">
        <f>+'5.1 Inventory (LC)'!D44/'Input-FX Rates'!$H$13</f>
        <v>0</v>
      </c>
      <c r="F44" s="886">
        <f>+'5.1 Inventory (LC)'!E44/'Input-FX Rates'!$H$13</f>
        <v>0</v>
      </c>
      <c r="G44" s="885">
        <f>+'5.1 Inventory (LC)'!F44/'Input-FX Rates'!$H$13</f>
        <v>0</v>
      </c>
      <c r="H44" s="885">
        <f>+'5.1 Inventory (LC)'!G44/'Input-FX Rates'!$H$13</f>
        <v>0</v>
      </c>
      <c r="I44" s="885">
        <f>+'5.1 Inventory (LC)'!H44/'Input-FX Rates'!$H$13</f>
        <v>0</v>
      </c>
      <c r="J44" s="885">
        <f>+'5.1 Inventory (LC)'!I44/'Input-FX Rates'!$H$13</f>
        <v>0</v>
      </c>
      <c r="K44" s="885">
        <f>+'5.1 Inventory (LC)'!J44/'Input-FX Rates'!$H$13</f>
        <v>0</v>
      </c>
      <c r="L44" s="885">
        <f>+'5.1 Inventory (LC)'!K44/'Input-FX Rates'!$H$13</f>
        <v>0</v>
      </c>
      <c r="M44" s="885">
        <f>+'5.1 Inventory (LC)'!L44/'Input-FX Rates'!$H$13</f>
        <v>0</v>
      </c>
      <c r="N44" s="885">
        <f>+'5.1 Inventory (LC)'!M44/'Input-FX Rates'!$H$13</f>
        <v>0</v>
      </c>
      <c r="O44" s="885">
        <f>+'5.1 Inventory (LC)'!N44/'Input-FX Rates'!$H$13</f>
        <v>0</v>
      </c>
      <c r="P44" s="885">
        <f>+'5.1 Inventory (LC)'!O44/'Input-FX Rates'!$H$13</f>
        <v>0</v>
      </c>
      <c r="Q44" s="887">
        <f>+'5.1 Inventory (LC)'!P44/'Input-FX Rates'!$H$13</f>
        <v>0</v>
      </c>
      <c r="R44" s="887">
        <f t="shared" si="1"/>
        <v>0</v>
      </c>
      <c r="S44" s="400" t="str">
        <f>IF(ISBLANK('5.1 Inventory (LC)'!R44),"",'5.1 Inventory (LC)'!R44)</f>
        <v/>
      </c>
    </row>
    <row r="45" spans="1:19" ht="15.75" x14ac:dyDescent="0.25">
      <c r="A45" s="400" t="s">
        <v>579</v>
      </c>
      <c r="B45" s="884"/>
      <c r="C45" s="885">
        <f>+'5.1 Inventory (LC)'!C45/'Input-FX Rates'!$E$13</f>
        <v>0</v>
      </c>
      <c r="D45" s="885">
        <f>+'5.1 Inventory (LC)'!D45/'Input-FX Rates'!$G$13</f>
        <v>0</v>
      </c>
      <c r="E45" s="885">
        <f>+'5.1 Inventory (LC)'!D45/'Input-FX Rates'!$H$13</f>
        <v>0</v>
      </c>
      <c r="F45" s="886">
        <f>+'5.1 Inventory (LC)'!E45/'Input-FX Rates'!$H$13</f>
        <v>0</v>
      </c>
      <c r="G45" s="885">
        <f>+'5.1 Inventory (LC)'!F45/'Input-FX Rates'!$H$13</f>
        <v>0</v>
      </c>
      <c r="H45" s="885">
        <f>+'5.1 Inventory (LC)'!G45/'Input-FX Rates'!$H$13</f>
        <v>0</v>
      </c>
      <c r="I45" s="885">
        <f>+'5.1 Inventory (LC)'!H45/'Input-FX Rates'!$H$13</f>
        <v>0</v>
      </c>
      <c r="J45" s="885">
        <f>+'5.1 Inventory (LC)'!I45/'Input-FX Rates'!$H$13</f>
        <v>0</v>
      </c>
      <c r="K45" s="885">
        <f>+'5.1 Inventory (LC)'!J45/'Input-FX Rates'!$H$13</f>
        <v>0</v>
      </c>
      <c r="L45" s="885">
        <f>+'5.1 Inventory (LC)'!K45/'Input-FX Rates'!$H$13</f>
        <v>0</v>
      </c>
      <c r="M45" s="885">
        <f>+'5.1 Inventory (LC)'!L45/'Input-FX Rates'!$H$13</f>
        <v>0</v>
      </c>
      <c r="N45" s="885">
        <f>+'5.1 Inventory (LC)'!M45/'Input-FX Rates'!$H$13</f>
        <v>0</v>
      </c>
      <c r="O45" s="885">
        <f>+'5.1 Inventory (LC)'!N45/'Input-FX Rates'!$H$13</f>
        <v>0</v>
      </c>
      <c r="P45" s="885">
        <f>+'5.1 Inventory (LC)'!O45/'Input-FX Rates'!$H$13</f>
        <v>0</v>
      </c>
      <c r="Q45" s="887">
        <f>+'5.1 Inventory (LC)'!P45/'Input-FX Rates'!$H$13</f>
        <v>0</v>
      </c>
      <c r="R45" s="887">
        <f t="shared" si="1"/>
        <v>0</v>
      </c>
      <c r="S45" s="400" t="str">
        <f>IF(ISBLANK('5.1 Inventory (LC)'!R45),"",'5.1 Inventory (LC)'!R45)</f>
        <v/>
      </c>
    </row>
    <row r="46" spans="1:19" ht="15.75" x14ac:dyDescent="0.25">
      <c r="A46" s="213" t="s">
        <v>580</v>
      </c>
      <c r="B46" s="214"/>
      <c r="C46" s="78">
        <f>+'5.1 Inventory (LC)'!C46/'Input-FX Rates'!$E$13</f>
        <v>540.02707152194739</v>
      </c>
      <c r="D46" s="78">
        <f>+'5.1 Inventory (LC)'!D46/'Input-FX Rates'!$G$13</f>
        <v>2400.8732358729267</v>
      </c>
      <c r="E46" s="78">
        <f>+'5.1 Inventory (LC)'!D46/'Input-FX Rates'!$H$13</f>
        <v>2355.8361655172412</v>
      </c>
      <c r="F46" s="806">
        <f>+'5.1 Inventory (LC)'!E46/'Input-FX Rates'!$H$13</f>
        <v>2031.3187137931034</v>
      </c>
      <c r="G46" s="78">
        <f>+'5.1 Inventory (LC)'!F46/'Input-FX Rates'!$H$13</f>
        <v>2041.7058551724135</v>
      </c>
      <c r="H46" s="78">
        <f>+'5.1 Inventory (LC)'!G46/'Input-FX Rates'!$H$13</f>
        <v>1850.0672972413793</v>
      </c>
      <c r="I46" s="78">
        <f>+'5.1 Inventory (LC)'!H46/'Input-FX Rates'!$H$13</f>
        <v>1676.5309634482758</v>
      </c>
      <c r="J46" s="78">
        <f>+'5.1 Inventory (LC)'!I46/'Input-FX Rates'!$H$13</f>
        <v>1567.9267986206896</v>
      </c>
      <c r="K46" s="78">
        <f>+'5.1 Inventory (LC)'!J46/'Input-FX Rates'!$H$13</f>
        <v>1485.8774455172415</v>
      </c>
      <c r="L46" s="78">
        <f>+'5.1 Inventory (LC)'!K46/'Input-FX Rates'!$H$13</f>
        <v>1385.7226689655174</v>
      </c>
      <c r="M46" s="78">
        <f>+'5.1 Inventory (LC)'!L46/'Input-FX Rates'!$H$13</f>
        <v>1262.4191586206896</v>
      </c>
      <c r="N46" s="78">
        <f>+'5.1 Inventory (LC)'!M46/'Input-FX Rates'!$H$13</f>
        <v>1057.7263489655172</v>
      </c>
      <c r="O46" s="78">
        <f>+'5.1 Inventory (LC)'!N46/'Input-FX Rates'!$H$13</f>
        <v>979.19375172413788</v>
      </c>
      <c r="P46" s="78">
        <f>+'5.1 Inventory (LC)'!O46/'Input-FX Rates'!$H$13</f>
        <v>970.26157517241381</v>
      </c>
      <c r="Q46" s="80">
        <f>+'5.1 Inventory (LC)'!P46/'Input-FX Rates'!$H$13</f>
        <v>827.41461724137935</v>
      </c>
      <c r="R46" s="80">
        <f t="shared" si="1"/>
        <v>1428.0137662068967</v>
      </c>
      <c r="S46" s="400" t="str">
        <f>IF(ISBLANK('5.1 Inventory (LC)'!R46),"",'5.1 Inventory (LC)'!R46)</f>
        <v/>
      </c>
    </row>
    <row r="47" spans="1:19" ht="15.75" x14ac:dyDescent="0.25">
      <c r="A47" s="213" t="s">
        <v>581</v>
      </c>
      <c r="B47" s="214"/>
      <c r="C47" s="405"/>
      <c r="D47" s="258">
        <f>'5.1 Inventory (LC)'!D47</f>
        <v>6.2096027346834646</v>
      </c>
      <c r="E47" s="258">
        <f>IFERROR((E7/E46),0)</f>
        <v>0</v>
      </c>
      <c r="F47" s="809">
        <f>'5.1 Inventory (LC)'!E47</f>
        <v>6.9842619189181825</v>
      </c>
      <c r="G47" s="258">
        <f>'5.1 Inventory (LC)'!F47</f>
        <v>6.9487296135186805</v>
      </c>
      <c r="H47" s="258">
        <f>'5.1 Inventory (LC)'!G47</f>
        <v>7.6685112801494029</v>
      </c>
      <c r="I47" s="258">
        <f>'5.1 Inventory (LC)'!H47</f>
        <v>8.4622725420774714</v>
      </c>
      <c r="J47" s="258">
        <f>'5.1 Inventory (LC)'!I47</f>
        <v>9.0484211064008946</v>
      </c>
      <c r="K47" s="258">
        <f>'5.1 Inventory (LC)'!J47</f>
        <v>9.5480700516268868</v>
      </c>
      <c r="L47" s="258">
        <f>'5.1 Inventory (LC)'!K47</f>
        <v>10.238168325933675</v>
      </c>
      <c r="M47" s="258">
        <f>'5.1 Inventory (LC)'!L47</f>
        <v>11.238154808607259</v>
      </c>
      <c r="N47" s="258">
        <f>'5.1 Inventory (LC)'!M47</f>
        <v>13.41297959704467</v>
      </c>
      <c r="O47" s="258">
        <f>'5.1 Inventory (LC)'!N47</f>
        <v>14.488717797627372</v>
      </c>
      <c r="P47" s="258">
        <f>'5.1 Inventory (LC)'!O47</f>
        <v>14.622100164494283</v>
      </c>
      <c r="Q47" s="401">
        <f>'5.1 Inventory (LC)'!P47</f>
        <v>17.146496620076295</v>
      </c>
      <c r="R47" s="401">
        <f>'5.1 Inventory (LC)'!Q47</f>
        <v>9.9349616044776425</v>
      </c>
      <c r="S47" s="400" t="str">
        <f>IF(ISBLANK('5.1 Inventory (LC)'!R47),"",'5.1 Inventory (LC)'!R47)</f>
        <v>YE TR 14.54, AVG TR 8.43 --&gt; B/S should be updated.</v>
      </c>
    </row>
  </sheetData>
  <mergeCells count="6">
    <mergeCell ref="A37:A43"/>
    <mergeCell ref="A9:A13"/>
    <mergeCell ref="A14:A23"/>
    <mergeCell ref="A25:A26"/>
    <mergeCell ref="A27:A31"/>
    <mergeCell ref="A33:A36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8515625" defaultRowHeight="12.75" x14ac:dyDescent="0.2"/>
  <cols>
    <col min="1" max="17" width="9.28515625" style="2"/>
    <col min="18" max="16384" width="9.28515625" style="1"/>
  </cols>
  <sheetData>
    <row r="1" spans="1:1" x14ac:dyDescent="0.2">
      <c r="A1" s="2" t="s">
        <v>0</v>
      </c>
    </row>
    <row r="3" spans="1:1" x14ac:dyDescent="0.2">
      <c r="A3" s="4"/>
    </row>
    <row r="4" spans="1:1" x14ac:dyDescent="0.2">
      <c r="A4" s="4"/>
    </row>
    <row r="5" spans="1:1" x14ac:dyDescent="0.2">
      <c r="A5" s="4"/>
    </row>
    <row r="6" spans="1:1" x14ac:dyDescent="0.2">
      <c r="A6" s="4"/>
    </row>
    <row r="7" spans="1:1" x14ac:dyDescent="0.2">
      <c r="A7" s="4"/>
    </row>
    <row r="8" spans="1:1" x14ac:dyDescent="0.2">
      <c r="A8" s="4"/>
    </row>
    <row r="9" spans="1:1" x14ac:dyDescent="0.2">
      <c r="A9" s="4"/>
    </row>
    <row r="10" spans="1:1" x14ac:dyDescent="0.2">
      <c r="A10" s="4"/>
    </row>
    <row r="11" spans="1:1" x14ac:dyDescent="0.2">
      <c r="A11" s="4"/>
    </row>
    <row r="12" spans="1:1" x14ac:dyDescent="0.2">
      <c r="A12" s="4"/>
    </row>
    <row r="13" spans="1:1" x14ac:dyDescent="0.2">
      <c r="A13" s="4"/>
    </row>
    <row r="14" spans="1:1" x14ac:dyDescent="0.2">
      <c r="A14" s="792"/>
    </row>
    <row r="15" spans="1:1" x14ac:dyDescent="0.2">
      <c r="A15" s="4"/>
    </row>
    <row r="16" spans="1:1" x14ac:dyDescent="0.2">
      <c r="A16" s="4"/>
    </row>
    <row r="17" spans="1:5" x14ac:dyDescent="0.2">
      <c r="A17" s="4"/>
    </row>
    <row r="18" spans="1:5" x14ac:dyDescent="0.2">
      <c r="A18" s="4"/>
      <c r="E18" s="3"/>
    </row>
    <row r="19" spans="1:5" x14ac:dyDescent="0.2">
      <c r="A19" s="4"/>
    </row>
    <row r="20" spans="1:5" x14ac:dyDescent="0.2">
      <c r="A20" s="4"/>
    </row>
    <row r="21" spans="1:5" x14ac:dyDescent="0.2">
      <c r="A21" s="4"/>
    </row>
    <row r="22" spans="1:5" x14ac:dyDescent="0.2">
      <c r="A22" s="792"/>
    </row>
    <row r="23" spans="1:5" x14ac:dyDescent="0.2">
      <c r="A23" s="4"/>
    </row>
    <row r="24" spans="1:5" x14ac:dyDescent="0.2">
      <c r="A24" s="4"/>
    </row>
    <row r="25" spans="1:5" x14ac:dyDescent="0.2">
      <c r="A25" s="4"/>
    </row>
    <row r="26" spans="1:5" x14ac:dyDescent="0.2">
      <c r="A26" s="4"/>
    </row>
    <row r="27" spans="1:5" x14ac:dyDescent="0.2">
      <c r="A27" s="4"/>
    </row>
    <row r="28" spans="1:5" x14ac:dyDescent="0.2">
      <c r="A28" s="4"/>
    </row>
    <row r="29" spans="1:5" x14ac:dyDescent="0.2">
      <c r="A29" s="4"/>
    </row>
    <row r="30" spans="1:5" x14ac:dyDescent="0.2">
      <c r="A30" s="4"/>
    </row>
    <row r="31" spans="1:5" x14ac:dyDescent="0.2">
      <c r="A31" s="4"/>
    </row>
    <row r="32" spans="1:5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85" zoomScaleNormal="85" workbookViewId="0">
      <pane xSplit="2" ySplit="5" topLeftCell="C6" activePane="bottomRight" state="frozen"/>
      <selection pane="topRight" activeCell="H16" sqref="H16"/>
      <selection pane="bottomLeft" activeCell="H16" sqref="H16"/>
      <selection pane="bottomRight" activeCell="P8" sqref="P8"/>
    </sheetView>
  </sheetViews>
  <sheetFormatPr defaultColWidth="9.28515625" defaultRowHeight="12.75" customHeight="1" outlineLevelCol="1" x14ac:dyDescent="0.2"/>
  <cols>
    <col min="1" max="1" width="42.7109375" style="220" customWidth="1"/>
    <col min="2" max="2" width="18.7109375" style="220" customWidth="1"/>
    <col min="3" max="5" width="12.5703125" style="220" customWidth="1"/>
    <col min="6" max="16" width="12.5703125" style="220" customWidth="1" outlineLevel="1"/>
    <col min="17" max="17" width="14.42578125" style="220" customWidth="1"/>
    <col min="18" max="18" width="14.7109375" style="220" customWidth="1"/>
    <col min="19" max="20" width="12.5703125" style="220" customWidth="1"/>
    <col min="21" max="21" width="35.28515625" style="220" customWidth="1"/>
    <col min="22" max="22" width="8.7109375" style="220" customWidth="1"/>
    <col min="23" max="23" width="129.7109375" style="220" bestFit="1" customWidth="1"/>
    <col min="24" max="16384" width="9.28515625" style="220"/>
  </cols>
  <sheetData>
    <row r="1" spans="1:23" ht="19.899999999999999" customHeight="1" x14ac:dyDescent="0.25">
      <c r="A1" s="60" t="str">
        <f>+'0. Instructions'!A1</f>
        <v>Budget 2024</v>
      </c>
      <c r="B1" s="436"/>
      <c r="C1" s="436"/>
      <c r="D1" s="60"/>
      <c r="E1" s="60"/>
      <c r="F1" s="60"/>
      <c r="G1" s="640"/>
      <c r="H1" s="60"/>
      <c r="I1" s="60"/>
      <c r="J1" s="60"/>
      <c r="K1" s="60"/>
      <c r="L1" s="60"/>
      <c r="M1" s="60"/>
      <c r="N1" s="60"/>
      <c r="O1" s="60"/>
      <c r="P1" s="60"/>
      <c r="Q1" s="60"/>
      <c r="R1" s="389"/>
      <c r="S1" s="389"/>
      <c r="T1" s="57"/>
      <c r="U1" s="57" t="str">
        <f>'Input-FX Rates'!$H$1</f>
        <v>Plant ICH Icheon (242)</v>
      </c>
      <c r="V1" s="389"/>
      <c r="W1" s="389" t="s">
        <v>154</v>
      </c>
    </row>
    <row r="2" spans="1:23" ht="19.899999999999999" customHeight="1" thickBot="1" x14ac:dyDescent="0.3">
      <c r="A2" s="55" t="s">
        <v>590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7521 &amp; 7522 PL Mechatronic Sensors (&amp; Electrification)</v>
      </c>
      <c r="V2" s="411"/>
      <c r="W2" s="95" t="s">
        <v>156</v>
      </c>
    </row>
    <row r="4" spans="1:23" ht="25.15" customHeight="1" x14ac:dyDescent="0.2">
      <c r="A4" s="1027"/>
      <c r="B4" s="1028"/>
      <c r="C4" s="1027" t="s">
        <v>591</v>
      </c>
      <c r="D4" s="1027"/>
      <c r="E4" s="1028"/>
      <c r="F4" s="1027" t="s">
        <v>592</v>
      </c>
      <c r="G4" s="1027"/>
      <c r="H4" s="1027"/>
      <c r="I4" s="1027"/>
      <c r="J4" s="1027"/>
      <c r="K4" s="1027"/>
      <c r="L4" s="1027"/>
      <c r="M4" s="1027"/>
      <c r="N4" s="1027"/>
      <c r="O4" s="1027"/>
      <c r="P4" s="1027"/>
      <c r="Q4" s="1027"/>
      <c r="R4" s="1028"/>
      <c r="S4" s="304"/>
      <c r="T4" s="757"/>
      <c r="U4" s="186" t="s">
        <v>208</v>
      </c>
    </row>
    <row r="5" spans="1:23" ht="60.6" customHeight="1" x14ac:dyDescent="0.2">
      <c r="A5" s="1027"/>
      <c r="B5" s="1030"/>
      <c r="C5" s="186" t="s">
        <v>593</v>
      </c>
      <c r="D5" s="186" t="s">
        <v>594</v>
      </c>
      <c r="E5" s="644" t="s">
        <v>595</v>
      </c>
      <c r="F5" s="186" t="s">
        <v>540</v>
      </c>
      <c r="G5" s="186" t="s">
        <v>541</v>
      </c>
      <c r="H5" s="186" t="s">
        <v>542</v>
      </c>
      <c r="I5" s="186" t="s">
        <v>543</v>
      </c>
      <c r="J5" s="186" t="s">
        <v>544</v>
      </c>
      <c r="K5" s="186" t="s">
        <v>545</v>
      </c>
      <c r="L5" s="186" t="s">
        <v>546</v>
      </c>
      <c r="M5" s="186" t="s">
        <v>547</v>
      </c>
      <c r="N5" s="186" t="s">
        <v>548</v>
      </c>
      <c r="O5" s="186" t="s">
        <v>549</v>
      </c>
      <c r="P5" s="186" t="s">
        <v>550</v>
      </c>
      <c r="Q5" s="186" t="s">
        <v>596</v>
      </c>
      <c r="R5" s="644" t="s">
        <v>597</v>
      </c>
      <c r="S5" s="186" t="s">
        <v>598</v>
      </c>
      <c r="T5" s="644" t="s">
        <v>599</v>
      </c>
      <c r="U5" s="186"/>
    </row>
    <row r="6" spans="1:23" ht="17.649999999999999" customHeight="1" x14ac:dyDescent="0.2">
      <c r="A6" s="213" t="s">
        <v>195</v>
      </c>
      <c r="B6" s="440" t="str">
        <f>"in '000 "&amp;'Input-FX Rates'!$B$8</f>
        <v>in '000 KRW</v>
      </c>
      <c r="C6" s="78">
        <f>+'2. Variable (LC)'!B6</f>
        <v>10156179.187999999</v>
      </c>
      <c r="D6" s="78">
        <f>+'2. Variable (LC)'!C6</f>
        <v>21211769.708999999</v>
      </c>
      <c r="E6" s="264">
        <f>+'2. Variable (LC)'!C6</f>
        <v>21211769.708999999</v>
      </c>
      <c r="F6" s="78">
        <f>+'4. Fix Cost (LC) '!D7</f>
        <v>1739629.5279999999</v>
      </c>
      <c r="G6" s="78">
        <f>+'4. Fix Cost (LC) '!E7</f>
        <v>1739642.172</v>
      </c>
      <c r="H6" s="78">
        <f>+'4. Fix Cost (LC) '!F7</f>
        <v>1695770.175</v>
      </c>
      <c r="I6" s="78">
        <f>+'4. Fix Cost (LC) '!G7</f>
        <v>1739642.172</v>
      </c>
      <c r="J6" s="78">
        <f>+'4. Fix Cost (LC) '!H7</f>
        <v>1783555.132</v>
      </c>
      <c r="K6" s="78">
        <f>+'4. Fix Cost (LC) '!I7</f>
        <v>1664422.378</v>
      </c>
      <c r="L6" s="78">
        <f>+'4. Fix Cost (LC) '!J7</f>
        <v>1798104.8529999999</v>
      </c>
      <c r="M6" s="78">
        <f>+'4. Fix Cost (LC) '!K7</f>
        <v>1753455.7420000001</v>
      </c>
      <c r="N6" s="78">
        <f>+'4. Fix Cost (LC) '!L7</f>
        <v>1575219.5379999999</v>
      </c>
      <c r="O6" s="78">
        <f>+'4. Fix Cost (LC) '!M7</f>
        <v>1798018.027</v>
      </c>
      <c r="P6" s="78">
        <f>+'4. Fix Cost (LC) '!N7</f>
        <v>1753426.3359999999</v>
      </c>
      <c r="Q6" s="78">
        <f>+'4. Fix Cost (LC) '!O7</f>
        <v>1530643.757</v>
      </c>
      <c r="R6" s="264">
        <f>+'2. Variable (LC)'!M6</f>
        <v>20571529.809999999</v>
      </c>
      <c r="S6" s="78">
        <f t="shared" ref="S6:S19" si="0">R6-E6</f>
        <v>-640239.89900000021</v>
      </c>
      <c r="T6" s="492">
        <f t="shared" ref="T6:T19" si="1">IFERROR(R6/E6-1,0)</f>
        <v>-3.0183238257972977E-2</v>
      </c>
      <c r="U6" s="416"/>
      <c r="W6" s="266" t="s">
        <v>600</v>
      </c>
    </row>
    <row r="7" spans="1:23" ht="16.149999999999999" customHeight="1" x14ac:dyDescent="0.2">
      <c r="A7" s="314" t="s">
        <v>601</v>
      </c>
      <c r="B7" s="330" t="s">
        <v>220</v>
      </c>
      <c r="C7" s="360">
        <v>21</v>
      </c>
      <c r="D7" s="360">
        <v>21</v>
      </c>
      <c r="E7" s="434">
        <v>20.2</v>
      </c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360">
        <v>22</v>
      </c>
      <c r="R7" s="434">
        <v>22</v>
      </c>
      <c r="S7" s="208">
        <f t="shared" si="0"/>
        <v>1.8000000000000007</v>
      </c>
      <c r="T7" s="295">
        <f t="shared" si="1"/>
        <v>8.9108910891089188E-2</v>
      </c>
      <c r="U7" s="426" t="s">
        <v>602</v>
      </c>
      <c r="W7" s="266" t="s">
        <v>603</v>
      </c>
    </row>
    <row r="8" spans="1:23" ht="16.149999999999999" customHeight="1" x14ac:dyDescent="0.2">
      <c r="A8" s="314" t="s">
        <v>604</v>
      </c>
      <c r="B8" s="330" t="s">
        <v>220</v>
      </c>
      <c r="C8" s="360">
        <v>0</v>
      </c>
      <c r="D8" s="360">
        <v>0</v>
      </c>
      <c r="E8" s="434">
        <v>0</v>
      </c>
      <c r="F8" s="435"/>
      <c r="G8" s="435"/>
      <c r="H8" s="435"/>
      <c r="I8" s="435"/>
      <c r="J8" s="435"/>
      <c r="K8" s="435"/>
      <c r="L8" s="435"/>
      <c r="M8" s="435"/>
      <c r="N8" s="435"/>
      <c r="O8" s="435"/>
      <c r="P8" s="435"/>
      <c r="Q8" s="360">
        <v>2</v>
      </c>
      <c r="R8" s="434">
        <v>2</v>
      </c>
      <c r="S8" s="208">
        <f t="shared" si="0"/>
        <v>2</v>
      </c>
      <c r="T8" s="295">
        <f t="shared" si="1"/>
        <v>0</v>
      </c>
      <c r="U8" s="426" t="s">
        <v>1511</v>
      </c>
      <c r="W8" s="266" t="s">
        <v>605</v>
      </c>
    </row>
    <row r="9" spans="1:23" ht="16.149999999999999" customHeight="1" x14ac:dyDescent="0.2">
      <c r="A9" s="314" t="s">
        <v>606</v>
      </c>
      <c r="B9" s="330" t="s">
        <v>220</v>
      </c>
      <c r="C9" s="360">
        <v>1</v>
      </c>
      <c r="D9" s="360">
        <v>1</v>
      </c>
      <c r="E9" s="434">
        <v>1</v>
      </c>
      <c r="F9" s="435"/>
      <c r="G9" s="435"/>
      <c r="H9" s="435"/>
      <c r="I9" s="435"/>
      <c r="J9" s="435"/>
      <c r="K9" s="435"/>
      <c r="L9" s="435"/>
      <c r="M9" s="435"/>
      <c r="N9" s="435"/>
      <c r="O9" s="435"/>
      <c r="P9" s="435"/>
      <c r="Q9" s="360">
        <v>1</v>
      </c>
      <c r="R9" s="434">
        <v>1</v>
      </c>
      <c r="S9" s="208">
        <f t="shared" si="0"/>
        <v>0</v>
      </c>
      <c r="T9" s="295">
        <f t="shared" si="1"/>
        <v>0</v>
      </c>
      <c r="U9" s="426"/>
      <c r="W9" s="220" t="s">
        <v>607</v>
      </c>
    </row>
    <row r="10" spans="1:23" ht="16.149999999999999" customHeight="1" x14ac:dyDescent="0.2">
      <c r="A10" s="314" t="s">
        <v>608</v>
      </c>
      <c r="B10" s="330" t="s">
        <v>220</v>
      </c>
      <c r="C10" s="360">
        <v>1</v>
      </c>
      <c r="D10" s="360">
        <v>1</v>
      </c>
      <c r="E10" s="434">
        <v>1</v>
      </c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360">
        <v>1</v>
      </c>
      <c r="R10" s="434">
        <v>1</v>
      </c>
      <c r="S10" s="208">
        <f t="shared" si="0"/>
        <v>0</v>
      </c>
      <c r="T10" s="295">
        <f t="shared" si="1"/>
        <v>0</v>
      </c>
      <c r="U10" s="426"/>
      <c r="W10" s="266" t="s">
        <v>609</v>
      </c>
    </row>
    <row r="11" spans="1:23" ht="16.149999999999999" customHeight="1" x14ac:dyDescent="0.2">
      <c r="A11" s="213" t="s">
        <v>610</v>
      </c>
      <c r="B11" s="440"/>
      <c r="C11" s="78">
        <f>SUM(C7:C10)</f>
        <v>23</v>
      </c>
      <c r="D11" s="78">
        <f>SUM(D7:D10)</f>
        <v>23</v>
      </c>
      <c r="E11" s="264">
        <f>SUM(E7:E10)</f>
        <v>22.2</v>
      </c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78">
        <f>SUM(Q7:Q10)</f>
        <v>26</v>
      </c>
      <c r="R11" s="264">
        <f>SUM(R7:R10)</f>
        <v>26</v>
      </c>
      <c r="S11" s="78">
        <f t="shared" si="0"/>
        <v>3.8000000000000007</v>
      </c>
      <c r="T11" s="492">
        <f t="shared" si="1"/>
        <v>0.1711711711711712</v>
      </c>
      <c r="U11" s="416"/>
      <c r="W11" s="266"/>
    </row>
    <row r="12" spans="1:23" ht="16.149999999999999" customHeight="1" x14ac:dyDescent="0.2">
      <c r="A12" s="314" t="s">
        <v>611</v>
      </c>
      <c r="B12" s="330" t="s">
        <v>237</v>
      </c>
      <c r="C12" s="360">
        <v>1</v>
      </c>
      <c r="D12" s="360">
        <v>1</v>
      </c>
      <c r="E12" s="434">
        <v>1</v>
      </c>
      <c r="F12" s="360">
        <v>1</v>
      </c>
      <c r="G12" s="360">
        <v>1</v>
      </c>
      <c r="H12" s="360">
        <v>1</v>
      </c>
      <c r="I12" s="360">
        <v>1</v>
      </c>
      <c r="J12" s="360">
        <v>1</v>
      </c>
      <c r="K12" s="360">
        <v>1</v>
      </c>
      <c r="L12" s="360">
        <v>1</v>
      </c>
      <c r="M12" s="360">
        <v>1</v>
      </c>
      <c r="N12" s="360">
        <v>1</v>
      </c>
      <c r="O12" s="360">
        <v>1</v>
      </c>
      <c r="P12" s="360">
        <v>1</v>
      </c>
      <c r="Q12" s="360">
        <v>1</v>
      </c>
      <c r="R12" s="433">
        <f t="shared" ref="R12:R17" si="2">SUM(F12:Q12)/12</f>
        <v>1</v>
      </c>
      <c r="S12" s="208">
        <f t="shared" si="0"/>
        <v>0</v>
      </c>
      <c r="T12" s="295">
        <f t="shared" si="1"/>
        <v>0</v>
      </c>
      <c r="U12" s="426"/>
      <c r="W12" s="266" t="s">
        <v>612</v>
      </c>
    </row>
    <row r="13" spans="1:23" ht="16.149999999999999" customHeight="1" x14ac:dyDescent="0.2">
      <c r="A13" s="314" t="s">
        <v>606</v>
      </c>
      <c r="B13" s="330" t="s">
        <v>237</v>
      </c>
      <c r="C13" s="360">
        <v>0</v>
      </c>
      <c r="D13" s="360">
        <v>0</v>
      </c>
      <c r="E13" s="434">
        <v>0</v>
      </c>
      <c r="F13" s="360">
        <v>0</v>
      </c>
      <c r="G13" s="360">
        <v>0</v>
      </c>
      <c r="H13" s="360">
        <v>0</v>
      </c>
      <c r="I13" s="360">
        <v>0</v>
      </c>
      <c r="J13" s="360">
        <v>0</v>
      </c>
      <c r="K13" s="360">
        <v>0</v>
      </c>
      <c r="L13" s="360">
        <v>0</v>
      </c>
      <c r="M13" s="360">
        <v>0</v>
      </c>
      <c r="N13" s="360">
        <v>0</v>
      </c>
      <c r="O13" s="360">
        <v>0</v>
      </c>
      <c r="P13" s="360">
        <v>0</v>
      </c>
      <c r="Q13" s="360">
        <v>0</v>
      </c>
      <c r="R13" s="433">
        <f t="shared" si="2"/>
        <v>0</v>
      </c>
      <c r="S13" s="208">
        <f t="shared" si="0"/>
        <v>0</v>
      </c>
      <c r="T13" s="295">
        <f t="shared" si="1"/>
        <v>0</v>
      </c>
      <c r="U13" s="426"/>
      <c r="W13" s="266" t="s">
        <v>613</v>
      </c>
    </row>
    <row r="14" spans="1:23" ht="16.149999999999999" customHeight="1" x14ac:dyDescent="0.2">
      <c r="A14" s="314" t="s">
        <v>614</v>
      </c>
      <c r="B14" s="330" t="s">
        <v>237</v>
      </c>
      <c r="C14" s="360">
        <v>0</v>
      </c>
      <c r="D14" s="360">
        <v>0</v>
      </c>
      <c r="E14" s="434">
        <v>0</v>
      </c>
      <c r="F14" s="360">
        <v>0</v>
      </c>
      <c r="G14" s="360">
        <v>0</v>
      </c>
      <c r="H14" s="360">
        <v>0</v>
      </c>
      <c r="I14" s="360">
        <v>0</v>
      </c>
      <c r="J14" s="360">
        <v>0</v>
      </c>
      <c r="K14" s="360">
        <v>0</v>
      </c>
      <c r="L14" s="360">
        <v>0</v>
      </c>
      <c r="M14" s="360">
        <v>0</v>
      </c>
      <c r="N14" s="360">
        <v>0</v>
      </c>
      <c r="O14" s="360">
        <v>0</v>
      </c>
      <c r="P14" s="360">
        <v>0</v>
      </c>
      <c r="Q14" s="360">
        <v>0</v>
      </c>
      <c r="R14" s="433">
        <f t="shared" si="2"/>
        <v>0</v>
      </c>
      <c r="S14" s="208">
        <f t="shared" si="0"/>
        <v>0</v>
      </c>
      <c r="T14" s="295">
        <f t="shared" si="1"/>
        <v>0</v>
      </c>
      <c r="U14" s="426"/>
      <c r="W14" s="266" t="s">
        <v>615</v>
      </c>
    </row>
    <row r="15" spans="1:23" ht="16.149999999999999" customHeight="1" x14ac:dyDescent="0.2">
      <c r="A15" s="314" t="s">
        <v>608</v>
      </c>
      <c r="B15" s="330" t="s">
        <v>237</v>
      </c>
      <c r="C15" s="360">
        <v>0</v>
      </c>
      <c r="D15" s="360">
        <v>0</v>
      </c>
      <c r="E15" s="434">
        <v>0</v>
      </c>
      <c r="F15" s="360">
        <v>0</v>
      </c>
      <c r="G15" s="360">
        <v>0</v>
      </c>
      <c r="H15" s="360">
        <v>0</v>
      </c>
      <c r="I15" s="360">
        <v>0</v>
      </c>
      <c r="J15" s="360">
        <v>0</v>
      </c>
      <c r="K15" s="360">
        <v>0</v>
      </c>
      <c r="L15" s="360">
        <v>0</v>
      </c>
      <c r="M15" s="360">
        <v>0</v>
      </c>
      <c r="N15" s="360">
        <v>0</v>
      </c>
      <c r="O15" s="360">
        <v>0</v>
      </c>
      <c r="P15" s="360">
        <v>0</v>
      </c>
      <c r="Q15" s="360">
        <v>0</v>
      </c>
      <c r="R15" s="433">
        <f t="shared" si="2"/>
        <v>0</v>
      </c>
      <c r="S15" s="208">
        <f t="shared" si="0"/>
        <v>0</v>
      </c>
      <c r="T15" s="295">
        <f t="shared" si="1"/>
        <v>0</v>
      </c>
      <c r="U15" s="426"/>
      <c r="W15" s="266" t="s">
        <v>616</v>
      </c>
    </row>
    <row r="16" spans="1:23" ht="16.149999999999999" customHeight="1" x14ac:dyDescent="0.2">
      <c r="A16" s="314" t="s">
        <v>617</v>
      </c>
      <c r="B16" s="330" t="s">
        <v>237</v>
      </c>
      <c r="C16" s="360">
        <v>0</v>
      </c>
      <c r="D16" s="360">
        <v>0</v>
      </c>
      <c r="E16" s="434">
        <v>0</v>
      </c>
      <c r="F16" s="360">
        <v>0</v>
      </c>
      <c r="G16" s="360">
        <v>0</v>
      </c>
      <c r="H16" s="360">
        <v>0</v>
      </c>
      <c r="I16" s="360">
        <v>0</v>
      </c>
      <c r="J16" s="360">
        <v>0</v>
      </c>
      <c r="K16" s="360">
        <v>0</v>
      </c>
      <c r="L16" s="360">
        <v>0</v>
      </c>
      <c r="M16" s="360">
        <v>0</v>
      </c>
      <c r="N16" s="360">
        <v>0</v>
      </c>
      <c r="O16" s="360">
        <v>0</v>
      </c>
      <c r="P16" s="360">
        <v>0</v>
      </c>
      <c r="Q16" s="360">
        <v>0</v>
      </c>
      <c r="R16" s="433">
        <f t="shared" si="2"/>
        <v>0</v>
      </c>
      <c r="S16" s="208">
        <f t="shared" si="0"/>
        <v>0</v>
      </c>
      <c r="T16" s="295">
        <f t="shared" si="1"/>
        <v>0</v>
      </c>
      <c r="U16" s="426"/>
      <c r="W16" s="266" t="s">
        <v>618</v>
      </c>
    </row>
    <row r="17" spans="1:23" ht="16.149999999999999" customHeight="1" x14ac:dyDescent="0.25">
      <c r="A17" s="348" t="s">
        <v>619</v>
      </c>
      <c r="B17" s="330" t="s">
        <v>237</v>
      </c>
      <c r="C17" s="360">
        <v>0</v>
      </c>
      <c r="D17" s="360">
        <v>0</v>
      </c>
      <c r="E17" s="434">
        <v>0</v>
      </c>
      <c r="F17" s="360">
        <v>0</v>
      </c>
      <c r="G17" s="360">
        <v>0</v>
      </c>
      <c r="H17" s="360">
        <v>0</v>
      </c>
      <c r="I17" s="360">
        <v>0</v>
      </c>
      <c r="J17" s="360">
        <v>0</v>
      </c>
      <c r="K17" s="360">
        <v>0</v>
      </c>
      <c r="L17" s="360">
        <v>0</v>
      </c>
      <c r="M17" s="360">
        <v>0</v>
      </c>
      <c r="N17" s="360">
        <v>0</v>
      </c>
      <c r="O17" s="360">
        <v>0</v>
      </c>
      <c r="P17" s="360">
        <v>0</v>
      </c>
      <c r="Q17" s="360">
        <v>0</v>
      </c>
      <c r="R17" s="433">
        <f t="shared" si="2"/>
        <v>0</v>
      </c>
      <c r="S17" s="208">
        <f t="shared" si="0"/>
        <v>0</v>
      </c>
      <c r="T17" s="295">
        <f t="shared" si="1"/>
        <v>0</v>
      </c>
      <c r="U17" s="426"/>
      <c r="W17" s="266" t="s">
        <v>619</v>
      </c>
    </row>
    <row r="18" spans="1:23" ht="16.149999999999999" customHeight="1" x14ac:dyDescent="0.2">
      <c r="A18" s="213" t="s">
        <v>620</v>
      </c>
      <c r="B18" s="440"/>
      <c r="C18" s="78">
        <f t="shared" ref="C18" si="3">SUM(C12:C17)</f>
        <v>1</v>
      </c>
      <c r="D18" s="78">
        <f t="shared" ref="D18:R18" si="4">SUM(D12:D17)</f>
        <v>1</v>
      </c>
      <c r="E18" s="264">
        <f t="shared" si="4"/>
        <v>1</v>
      </c>
      <c r="F18" s="78">
        <f t="shared" si="4"/>
        <v>1</v>
      </c>
      <c r="G18" s="78">
        <f t="shared" si="4"/>
        <v>1</v>
      </c>
      <c r="H18" s="78">
        <f t="shared" si="4"/>
        <v>1</v>
      </c>
      <c r="I18" s="78">
        <f t="shared" si="4"/>
        <v>1</v>
      </c>
      <c r="J18" s="78">
        <f t="shared" si="4"/>
        <v>1</v>
      </c>
      <c r="K18" s="78">
        <f t="shared" si="4"/>
        <v>1</v>
      </c>
      <c r="L18" s="78">
        <f t="shared" si="4"/>
        <v>1</v>
      </c>
      <c r="M18" s="78">
        <f t="shared" si="4"/>
        <v>1</v>
      </c>
      <c r="N18" s="78">
        <f t="shared" si="4"/>
        <v>1</v>
      </c>
      <c r="O18" s="78">
        <f t="shared" si="4"/>
        <v>1</v>
      </c>
      <c r="P18" s="78">
        <f t="shared" si="4"/>
        <v>1</v>
      </c>
      <c r="Q18" s="78">
        <f>SUM(Q12:Q17)</f>
        <v>1</v>
      </c>
      <c r="R18" s="264">
        <f t="shared" si="4"/>
        <v>1</v>
      </c>
      <c r="S18" s="78">
        <f t="shared" si="0"/>
        <v>0</v>
      </c>
      <c r="T18" s="492">
        <f t="shared" si="1"/>
        <v>0</v>
      </c>
      <c r="U18" s="416"/>
      <c r="W18" s="266"/>
    </row>
    <row r="19" spans="1:23" ht="19.899999999999999" customHeight="1" x14ac:dyDescent="0.2">
      <c r="A19" s="213" t="s">
        <v>621</v>
      </c>
      <c r="B19" s="440"/>
      <c r="C19" s="78">
        <f>C18+C11</f>
        <v>24</v>
      </c>
      <c r="D19" s="78">
        <f>D18+D11</f>
        <v>24</v>
      </c>
      <c r="E19" s="264">
        <f>E18+E11</f>
        <v>23.2</v>
      </c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78">
        <f>Q18+Q11</f>
        <v>27</v>
      </c>
      <c r="R19" s="264">
        <f>R18+R11</f>
        <v>27</v>
      </c>
      <c r="S19" s="78">
        <f t="shared" si="0"/>
        <v>3.8000000000000007</v>
      </c>
      <c r="T19" s="492">
        <f t="shared" si="1"/>
        <v>0.1637931034482758</v>
      </c>
      <c r="U19" s="416"/>
      <c r="W19" s="266"/>
    </row>
    <row r="20" spans="1:23" ht="15" customHeight="1" x14ac:dyDescent="0.2">
      <c r="A20" s="432"/>
      <c r="B20" s="771"/>
      <c r="C20" s="430"/>
      <c r="D20" s="430"/>
      <c r="E20" s="431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1"/>
      <c r="S20" s="430"/>
      <c r="T20" s="772"/>
      <c r="U20" s="429"/>
      <c r="V20" s="428"/>
      <c r="W20" s="427"/>
    </row>
    <row r="21" spans="1:23" ht="19.899999999999999" customHeight="1" x14ac:dyDescent="0.2">
      <c r="A21" s="213" t="s">
        <v>622</v>
      </c>
      <c r="B21" s="440" t="s">
        <v>220</v>
      </c>
      <c r="C21" s="641">
        <v>0</v>
      </c>
      <c r="D21" s="641">
        <v>0</v>
      </c>
      <c r="E21" s="789">
        <v>0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791">
        <v>0</v>
      </c>
      <c r="R21" s="789">
        <v>0</v>
      </c>
      <c r="S21" s="78">
        <f>R21-E21</f>
        <v>0</v>
      </c>
      <c r="T21" s="492">
        <f>IFERROR(R21/E21-1,0)</f>
        <v>0</v>
      </c>
      <c r="U21" s="426"/>
      <c r="V21" s="425"/>
      <c r="W21" s="266" t="s">
        <v>623</v>
      </c>
    </row>
    <row r="22" spans="1:23" ht="19.899999999999999" customHeight="1" x14ac:dyDescent="0.2">
      <c r="A22" s="213" t="s">
        <v>622</v>
      </c>
      <c r="B22" s="440" t="s">
        <v>237</v>
      </c>
      <c r="C22" s="641">
        <v>3</v>
      </c>
      <c r="D22" s="641">
        <v>4</v>
      </c>
      <c r="E22" s="789">
        <v>4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791">
        <v>4</v>
      </c>
      <c r="R22" s="789">
        <v>4</v>
      </c>
      <c r="S22" s="78">
        <f>R22-E22</f>
        <v>0</v>
      </c>
      <c r="T22" s="492">
        <f>IFERROR(R22/E22-1,0)</f>
        <v>0</v>
      </c>
      <c r="U22" s="426"/>
      <c r="V22" s="425"/>
      <c r="W22" s="266" t="s">
        <v>624</v>
      </c>
    </row>
    <row r="23" spans="1:23" ht="15" customHeight="1" x14ac:dyDescent="0.2">
      <c r="A23" s="424"/>
      <c r="B23" s="770"/>
      <c r="C23" s="422"/>
      <c r="D23" s="422"/>
      <c r="E23" s="423"/>
      <c r="F23" s="422"/>
      <c r="G23" s="422"/>
      <c r="H23" s="422"/>
      <c r="I23" s="422"/>
      <c r="J23" s="422"/>
      <c r="K23" s="422"/>
      <c r="L23" s="422"/>
      <c r="M23" s="422"/>
      <c r="N23" s="422"/>
      <c r="O23" s="422"/>
      <c r="P23" s="422"/>
      <c r="Q23" s="422"/>
      <c r="R23" s="423"/>
      <c r="S23" s="422"/>
      <c r="T23" s="773"/>
      <c r="U23" s="421"/>
      <c r="V23" s="419"/>
      <c r="W23" s="420"/>
    </row>
    <row r="24" spans="1:23" ht="19.899999999999999" customHeight="1" x14ac:dyDescent="0.2">
      <c r="A24" s="213" t="s">
        <v>625</v>
      </c>
      <c r="B24" s="440"/>
      <c r="C24" s="78">
        <f>KeyData!F22</f>
        <v>23</v>
      </c>
      <c r="D24" s="78">
        <f>KeyData!G22</f>
        <v>23</v>
      </c>
      <c r="E24" s="768">
        <v>22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78">
        <f>KeyData!H22</f>
        <v>26</v>
      </c>
      <c r="R24" s="789">
        <v>26</v>
      </c>
      <c r="S24" s="78">
        <f>R24-E24</f>
        <v>4</v>
      </c>
      <c r="T24" s="492">
        <f>IFERROR(R24/E24-1,0)</f>
        <v>0.18181818181818188</v>
      </c>
      <c r="U24" s="416"/>
      <c r="V24" s="419"/>
      <c r="W24" s="266" t="s">
        <v>626</v>
      </c>
    </row>
    <row r="25" spans="1:23" ht="19.899999999999999" customHeight="1" x14ac:dyDescent="0.2">
      <c r="A25" s="213" t="s">
        <v>627</v>
      </c>
      <c r="B25" s="440"/>
      <c r="C25" s="78">
        <f>KeyData!F23</f>
        <v>4</v>
      </c>
      <c r="D25" s="78">
        <f>KeyData!G23</f>
        <v>5</v>
      </c>
      <c r="E25" s="768">
        <v>5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78">
        <f>KeyData!H23</f>
        <v>5</v>
      </c>
      <c r="R25" s="789">
        <v>5</v>
      </c>
      <c r="S25" s="78">
        <f>R25-E25</f>
        <v>0</v>
      </c>
      <c r="T25" s="492">
        <f>IFERROR(R25/E25-1,0)</f>
        <v>0</v>
      </c>
      <c r="U25" s="416"/>
      <c r="V25" s="419"/>
      <c r="W25" s="418" t="s">
        <v>628</v>
      </c>
    </row>
    <row r="26" spans="1:23" s="225" customFormat="1" ht="15" customHeight="1" x14ac:dyDescent="0.25">
      <c r="A26" s="220" t="s">
        <v>487</v>
      </c>
      <c r="B26" s="769"/>
      <c r="C26" s="96">
        <f>SUM(C24:C25)-SUM(C11,C18,C21,C22)</f>
        <v>0</v>
      </c>
      <c r="D26" s="96">
        <f>SUM(D24:D25)-SUM(D11,D18,D21,D22)</f>
        <v>0</v>
      </c>
      <c r="E26" s="766">
        <f>SUM(E24:E25)-E21-E18-E11-E22</f>
        <v>-0.19999999999999929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66">
        <f>SUM(R24:R25)-R21-R18-R11-R22</f>
        <v>0</v>
      </c>
      <c r="S26" s="96"/>
      <c r="T26" s="766"/>
      <c r="U26" s="642"/>
      <c r="V26" s="643"/>
      <c r="W26" s="643"/>
    </row>
    <row r="27" spans="1:23" s="225" customFormat="1" ht="15" customHeight="1" x14ac:dyDescent="0.25">
      <c r="A27" s="220"/>
      <c r="B27" s="769"/>
      <c r="C27" s="96"/>
      <c r="D27" s="96"/>
      <c r="E27" s="76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66"/>
      <c r="S27" s="96"/>
      <c r="T27" s="766"/>
      <c r="U27" s="642"/>
      <c r="V27" s="643"/>
      <c r="W27" s="643"/>
    </row>
    <row r="28" spans="1:23" ht="15" customHeight="1" x14ac:dyDescent="0.2">
      <c r="A28" s="213" t="s">
        <v>629</v>
      </c>
      <c r="B28" s="440"/>
      <c r="C28" s="213"/>
      <c r="D28" s="78"/>
      <c r="E28" s="264">
        <f>IFERROR('2. Variable (LC)'!C17/E11,0)</f>
        <v>-60403.085188946454</v>
      </c>
      <c r="F28" s="78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78"/>
      <c r="R28" s="264">
        <f>IFERROR('2. Variable (LC)'!M17/R11,0)</f>
        <v>-52618.89630769231</v>
      </c>
      <c r="S28" s="78">
        <f>R28-E28</f>
        <v>7784.1888812541438</v>
      </c>
      <c r="T28" s="492">
        <f>IFERROR(R28/E28-1,0)</f>
        <v>-0.12887071673416151</v>
      </c>
      <c r="U28" s="416"/>
      <c r="W28" s="266" t="s">
        <v>630</v>
      </c>
    </row>
    <row r="29" spans="1:23" s="348" customFormat="1" ht="15" customHeight="1" x14ac:dyDescent="0.25">
      <c r="A29" s="956" t="s">
        <v>631</v>
      </c>
      <c r="B29" s="770"/>
      <c r="C29" s="314"/>
      <c r="D29" s="314"/>
      <c r="E29" s="959">
        <v>66744307</v>
      </c>
      <c r="F29" s="31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314"/>
      <c r="R29" s="765">
        <v>69329150</v>
      </c>
      <c r="S29" s="960">
        <f>R29-E29</f>
        <v>2584843</v>
      </c>
      <c r="T29" s="767">
        <f>IFERROR(R29/E29-1,0)</f>
        <v>3.8727542710122131E-2</v>
      </c>
      <c r="U29" s="415"/>
      <c r="W29" s="219" t="s">
        <v>632</v>
      </c>
    </row>
    <row r="30" spans="1:23" s="348" customFormat="1" ht="15" customHeight="1" x14ac:dyDescent="0.25">
      <c r="A30" s="956" t="s">
        <v>633</v>
      </c>
      <c r="B30" s="770"/>
      <c r="C30" s="314"/>
      <c r="D30" s="314"/>
      <c r="E30" s="959">
        <v>90425968</v>
      </c>
      <c r="F30" s="31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314"/>
      <c r="R30" s="765">
        <v>93949058</v>
      </c>
      <c r="S30" s="960">
        <f>R30-E30</f>
        <v>3523090</v>
      </c>
      <c r="T30" s="767">
        <f>IFERROR(R30/E30-1,0)</f>
        <v>3.8961042695169201E-2</v>
      </c>
      <c r="U30" s="415"/>
      <c r="W30" s="348" t="s">
        <v>634</v>
      </c>
    </row>
    <row r="31" spans="1:23" s="348" customFormat="1" ht="15" customHeight="1" x14ac:dyDescent="0.25">
      <c r="A31" s="956" t="s">
        <v>635</v>
      </c>
      <c r="B31" s="770"/>
      <c r="C31" s="961"/>
      <c r="D31" s="314"/>
      <c r="E31" s="959">
        <v>132218343</v>
      </c>
      <c r="F31" s="31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314"/>
      <c r="R31" s="765">
        <v>137914199</v>
      </c>
      <c r="S31" s="960">
        <f>R31-E31</f>
        <v>5695856</v>
      </c>
      <c r="T31" s="767">
        <f>IFERROR(R31/E31-1,0)</f>
        <v>4.3079166405829206E-2</v>
      </c>
      <c r="U31" s="415"/>
      <c r="W31" s="219" t="s">
        <v>636</v>
      </c>
    </row>
    <row r="32" spans="1:23" s="348" customFormat="1" ht="15" customHeight="1" x14ac:dyDescent="0.25">
      <c r="A32" s="956" t="s">
        <v>637</v>
      </c>
      <c r="B32" s="770"/>
      <c r="C32" s="961"/>
      <c r="D32" s="314"/>
      <c r="E32" s="423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765">
        <v>97223</v>
      </c>
      <c r="S32" s="960"/>
      <c r="T32" s="767"/>
      <c r="U32" s="415"/>
      <c r="W32" s="219" t="s">
        <v>638</v>
      </c>
    </row>
    <row r="33" spans="1:23" s="348" customFormat="1" ht="15" customHeight="1" x14ac:dyDescent="0.25">
      <c r="A33" s="956" t="s">
        <v>639</v>
      </c>
      <c r="B33" s="770"/>
      <c r="C33" s="961"/>
      <c r="D33" s="314"/>
      <c r="E33" s="423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765">
        <v>2939829</v>
      </c>
      <c r="S33" s="960"/>
      <c r="T33" s="767"/>
      <c r="U33" s="415"/>
      <c r="W33" s="219" t="s">
        <v>640</v>
      </c>
    </row>
    <row r="34" spans="1:23" ht="15" customHeight="1" x14ac:dyDescent="0.2">
      <c r="A34" s="414"/>
      <c r="B34" s="756"/>
      <c r="C34" s="681"/>
      <c r="D34" s="326"/>
      <c r="E34" s="75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756"/>
      <c r="S34" s="413"/>
      <c r="T34" s="767"/>
      <c r="U34" s="326"/>
      <c r="W34" s="266"/>
    </row>
    <row r="35" spans="1:23" ht="31.5" x14ac:dyDescent="0.2">
      <c r="A35" s="213" t="s">
        <v>641</v>
      </c>
      <c r="B35" s="440"/>
      <c r="C35" s="213"/>
      <c r="D35" s="78"/>
      <c r="E35" s="264"/>
      <c r="F35" s="78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78" t="s">
        <v>642</v>
      </c>
      <c r="R35" s="835" t="s">
        <v>643</v>
      </c>
      <c r="S35" s="78"/>
      <c r="T35" s="492"/>
      <c r="U35" s="416"/>
      <c r="W35" s="266" t="s">
        <v>644</v>
      </c>
    </row>
    <row r="36" spans="1:23" s="348" customFormat="1" ht="15" customHeight="1" x14ac:dyDescent="0.25">
      <c r="A36" s="956" t="s">
        <v>645</v>
      </c>
      <c r="B36" s="330" t="s">
        <v>646</v>
      </c>
      <c r="C36" s="435"/>
      <c r="D36" s="435"/>
      <c r="E36" s="755"/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811">
        <f>VLOOKUP('Input-FX Rates'!C4,Settings!$AH$5:$AK$54,3,FALSE)</f>
        <v>3.7499999999999999E-2</v>
      </c>
      <c r="R36" s="882">
        <f>Q36</f>
        <v>3.7499999999999999E-2</v>
      </c>
      <c r="S36" s="957"/>
      <c r="T36" s="958"/>
      <c r="U36" s="412"/>
      <c r="W36" s="219" t="s">
        <v>647</v>
      </c>
    </row>
    <row r="37" spans="1:23" s="348" customFormat="1" ht="15" customHeight="1" x14ac:dyDescent="0.25">
      <c r="A37" s="956" t="s">
        <v>648</v>
      </c>
      <c r="B37" s="330" t="s">
        <v>646</v>
      </c>
      <c r="C37" s="435"/>
      <c r="D37" s="435"/>
      <c r="E37" s="75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811">
        <f>VLOOKUP('Input-FX Rates'!C4,Settings!$AH$5:$AK$54,4,FALSE)</f>
        <v>4.1300000000000003E-2</v>
      </c>
      <c r="R37" s="882">
        <f>Q37</f>
        <v>4.1300000000000003E-2</v>
      </c>
      <c r="S37" s="957"/>
      <c r="T37" s="958"/>
      <c r="U37" s="412"/>
      <c r="W37" s="219" t="s">
        <v>647</v>
      </c>
    </row>
    <row r="38" spans="1:23" s="348" customFormat="1" ht="12.75" customHeight="1" x14ac:dyDescent="0.25">
      <c r="A38" s="348" t="s">
        <v>649</v>
      </c>
      <c r="B38" s="330" t="str">
        <f>"in '000 "&amp;'Input-FX Rates'!$B$8</f>
        <v>in '000 KRW</v>
      </c>
      <c r="C38" s="435"/>
      <c r="D38" s="435"/>
      <c r="E38" s="755"/>
      <c r="F38" s="435"/>
      <c r="G38" s="435"/>
      <c r="H38" s="435"/>
      <c r="I38" s="435"/>
      <c r="J38" s="435"/>
      <c r="K38" s="435"/>
      <c r="L38" s="435"/>
      <c r="M38" s="435"/>
      <c r="N38" s="435"/>
      <c r="O38" s="435"/>
      <c r="P38" s="435"/>
      <c r="Q38" s="880">
        <f>('2. Variable (LC)'!M17/(1+'6. HC (LC)'!Q36))-'2. Variable (LC)'!M17</f>
        <v>49449.083277108613</v>
      </c>
      <c r="R38" s="431">
        <f>('2. Variable (LC)'!M17/(1+'6. HC (LC)'!R36))-'2. Variable (LC)'!M17</f>
        <v>49449.083277108613</v>
      </c>
      <c r="S38" s="957"/>
      <c r="T38" s="958"/>
      <c r="U38" s="412"/>
      <c r="W38" s="348" t="s">
        <v>650</v>
      </c>
    </row>
    <row r="39" spans="1:23" s="348" customFormat="1" ht="12.75" customHeight="1" x14ac:dyDescent="0.25">
      <c r="A39" s="348" t="s">
        <v>651</v>
      </c>
      <c r="B39" s="330" t="str">
        <f>"in '000 "&amp;'Input-FX Rates'!$B$8</f>
        <v>in '000 KRW</v>
      </c>
      <c r="C39" s="435"/>
      <c r="D39" s="435"/>
      <c r="E39" s="755"/>
      <c r="F39" s="435"/>
      <c r="G39" s="435"/>
      <c r="H39" s="435"/>
      <c r="I39" s="435"/>
      <c r="J39" s="435"/>
      <c r="K39" s="435"/>
      <c r="L39" s="435"/>
      <c r="M39" s="435"/>
      <c r="N39" s="435"/>
      <c r="O39" s="435"/>
      <c r="P39" s="435"/>
      <c r="Q39" s="880">
        <f>'4. Fix Cost (LC) '!P10/(1+'6. HC (LC)'!Q37)-'4. Fix Cost (LC) '!P10</f>
        <v>8592.6420113320055</v>
      </c>
      <c r="R39" s="431">
        <f>'4. Fix Cost (LC) '!P10/(1+'6. HC (LC)'!R37)-'4. Fix Cost (LC) '!P10</f>
        <v>8592.6420113320055</v>
      </c>
      <c r="S39" s="957"/>
      <c r="T39" s="958"/>
      <c r="U39" s="412"/>
      <c r="W39" s="348" t="s">
        <v>652</v>
      </c>
    </row>
    <row r="40" spans="1:23" ht="12.75" customHeight="1" x14ac:dyDescent="0.2">
      <c r="U40" s="881"/>
    </row>
    <row r="42" spans="1:23" ht="12.75" customHeight="1" x14ac:dyDescent="0.2">
      <c r="Q42" s="840"/>
      <c r="S42" s="841"/>
    </row>
  </sheetData>
  <mergeCells count="4">
    <mergeCell ref="A4:B4"/>
    <mergeCell ref="A5:B5"/>
    <mergeCell ref="F4:R4"/>
    <mergeCell ref="C4:E4"/>
  </mergeCells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Normal="100" workbookViewId="0">
      <pane xSplit="2" ySplit="5" topLeftCell="C6" activePane="bottomRight" state="frozen"/>
      <selection pane="topRight" activeCell="H16" sqref="H16"/>
      <selection pane="bottomLeft" activeCell="H16" sqref="H16"/>
      <selection pane="bottomRight" activeCell="U22" sqref="U22"/>
    </sheetView>
  </sheetViews>
  <sheetFormatPr defaultColWidth="9.28515625" defaultRowHeight="12.75" customHeight="1" outlineLevelCol="1" x14ac:dyDescent="0.2"/>
  <cols>
    <col min="1" max="1" width="33.28515625" style="220" customWidth="1"/>
    <col min="2" max="2" width="18.7109375" style="220" customWidth="1"/>
    <col min="3" max="6" width="12.7109375" style="220" customWidth="1"/>
    <col min="7" max="16" width="12.7109375" style="220" hidden="1" customWidth="1" outlineLevel="1"/>
    <col min="17" max="17" width="17.28515625" style="220" customWidth="1" collapsed="1"/>
    <col min="18" max="18" width="17.28515625" style="220" customWidth="1"/>
    <col min="19" max="20" width="12.7109375" style="220" customWidth="1"/>
    <col min="21" max="21" width="41.28515625" style="220" customWidth="1"/>
    <col min="22" max="22" width="9.28515625" style="220"/>
    <col min="23" max="23" width="129.7109375" style="220" bestFit="1" customWidth="1"/>
    <col min="24" max="16384" width="9.28515625" style="220"/>
  </cols>
  <sheetData>
    <row r="1" spans="1:23" ht="19.899999999999999" customHeight="1" x14ac:dyDescent="0.25">
      <c r="A1" s="60" t="str">
        <f>+'0. Instructions'!A1</f>
        <v>Budget 2024</v>
      </c>
      <c r="B1" s="436"/>
      <c r="C1" s="436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89"/>
      <c r="S1" s="389"/>
      <c r="T1" s="389"/>
      <c r="U1" s="57" t="str">
        <f>'Input-FX Rates'!$H$1</f>
        <v>Plant ICH Icheon (242)</v>
      </c>
      <c r="W1" s="389" t="s">
        <v>154</v>
      </c>
    </row>
    <row r="2" spans="1:23" ht="19.899999999999999" customHeight="1" thickBot="1" x14ac:dyDescent="0.3">
      <c r="A2" s="55" t="s">
        <v>590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156</v>
      </c>
    </row>
    <row r="4" spans="1:23" ht="25.15" customHeight="1" x14ac:dyDescent="0.2">
      <c r="A4" s="1027"/>
      <c r="B4" s="1028"/>
      <c r="C4" s="1029" t="s">
        <v>591</v>
      </c>
      <c r="D4" s="1027"/>
      <c r="E4" s="1028"/>
      <c r="F4" s="1029" t="s">
        <v>592</v>
      </c>
      <c r="G4" s="1027"/>
      <c r="H4" s="1027"/>
      <c r="I4" s="1027"/>
      <c r="J4" s="1027"/>
      <c r="K4" s="1027"/>
      <c r="L4" s="1027"/>
      <c r="M4" s="1027"/>
      <c r="N4" s="1027"/>
      <c r="O4" s="1027"/>
      <c r="P4" s="1027"/>
      <c r="Q4" s="1027"/>
      <c r="R4" s="1028"/>
      <c r="S4" s="304"/>
      <c r="T4" s="757"/>
      <c r="U4" s="186" t="s">
        <v>208</v>
      </c>
    </row>
    <row r="5" spans="1:23" ht="64.5" customHeight="1" x14ac:dyDescent="0.2">
      <c r="A5" s="1027"/>
      <c r="B5" s="1030"/>
      <c r="C5" s="186" t="s">
        <v>593</v>
      </c>
      <c r="D5" s="186" t="s">
        <v>594</v>
      </c>
      <c r="E5" s="644" t="s">
        <v>595</v>
      </c>
      <c r="F5" s="186" t="s">
        <v>540</v>
      </c>
      <c r="G5" s="186" t="s">
        <v>541</v>
      </c>
      <c r="H5" s="186" t="s">
        <v>542</v>
      </c>
      <c r="I5" s="186" t="s">
        <v>543</v>
      </c>
      <c r="J5" s="186" t="s">
        <v>544</v>
      </c>
      <c r="K5" s="186" t="s">
        <v>545</v>
      </c>
      <c r="L5" s="186" t="s">
        <v>546</v>
      </c>
      <c r="M5" s="186" t="s">
        <v>547</v>
      </c>
      <c r="N5" s="186" t="s">
        <v>548</v>
      </c>
      <c r="O5" s="186" t="s">
        <v>549</v>
      </c>
      <c r="P5" s="186" t="s">
        <v>550</v>
      </c>
      <c r="Q5" s="186" t="s">
        <v>596</v>
      </c>
      <c r="R5" s="644" t="s">
        <v>597</v>
      </c>
      <c r="S5" s="186" t="s">
        <v>598</v>
      </c>
      <c r="T5" s="644" t="s">
        <v>599</v>
      </c>
      <c r="U5" s="186"/>
    </row>
    <row r="6" spans="1:23" ht="15.75" x14ac:dyDescent="0.2">
      <c r="A6" s="213" t="s">
        <v>195</v>
      </c>
      <c r="B6" s="440" t="str">
        <f>"in '000 "&amp;"EUR"</f>
        <v>in '000 EUR</v>
      </c>
      <c r="C6" s="78">
        <f>+'6. HC (LC)'!C6/'Input-FX Rates'!$F$16</f>
        <v>7249.997525078973</v>
      </c>
      <c r="D6" s="78">
        <f>+'6. HC (LC)'!D6/'Input-FX Rates'!$G$16</f>
        <v>15111.540802308424</v>
      </c>
      <c r="E6" s="264">
        <f>+'6. HC (LC)'!E6/'Input-FX Rates'!$G$16</f>
        <v>15111.540802308424</v>
      </c>
      <c r="F6" s="78">
        <f>+'6. HC (LC)'!F6/'Input-FX Rates'!$H$16</f>
        <v>1199.7445020689654</v>
      </c>
      <c r="G6" s="78">
        <f>+'6. HC (LC)'!G6/'Input-FX Rates'!$H$16</f>
        <v>1199.7532220689654</v>
      </c>
      <c r="H6" s="78">
        <f>+'6. HC (LC)'!H6/'Input-FX Rates'!$H$16</f>
        <v>1169.4966724137932</v>
      </c>
      <c r="I6" s="78">
        <f>+'6. HC (LC)'!I6/'Input-FX Rates'!$H$16</f>
        <v>1199.7532220689654</v>
      </c>
      <c r="J6" s="78">
        <f>+'6. HC (LC)'!J6/'Input-FX Rates'!$H$16</f>
        <v>1230.0380220689656</v>
      </c>
      <c r="K6" s="78">
        <f>+'6. HC (LC)'!K6/'Input-FX Rates'!$H$16</f>
        <v>1147.8775020689654</v>
      </c>
      <c r="L6" s="78">
        <f>+'6. HC (LC)'!L6/'Input-FX Rates'!$H$16</f>
        <v>1240.072312413793</v>
      </c>
      <c r="M6" s="78">
        <f>+'6. HC (LC)'!M6/'Input-FX Rates'!$H$16</f>
        <v>1209.2798220689656</v>
      </c>
      <c r="N6" s="78">
        <f>+'6. HC (LC)'!N6/'Input-FX Rates'!$H$16</f>
        <v>1086.3583020689655</v>
      </c>
      <c r="O6" s="78">
        <f>+'6. HC (LC)'!O6/'Input-FX Rates'!$H$16</f>
        <v>1240.012432413793</v>
      </c>
      <c r="P6" s="78">
        <f>+'6. HC (LC)'!P6/'Input-FX Rates'!$H$16</f>
        <v>1209.2595420689654</v>
      </c>
      <c r="Q6" s="78">
        <f>+'6. HC (LC)'!Q6/'Input-FX Rates'!$H$16</f>
        <v>1055.6163841379309</v>
      </c>
      <c r="R6" s="264">
        <f>+'6. HC (LC)'!R6/'Input-FX Rates'!$H$16</f>
        <v>14187.261937931033</v>
      </c>
      <c r="S6" s="78">
        <f t="shared" ref="S6:S19" si="0">R6-E6</f>
        <v>-924.27886437739107</v>
      </c>
      <c r="T6" s="492">
        <f t="shared" ref="T6:T19" si="1">IFERROR(R6/E6-1,0)</f>
        <v>-6.1163773864555182E-2</v>
      </c>
      <c r="U6" s="878" t="str">
        <f>IF(ISBLANK('6. HC (LC)'!U6),"",'6. HC (LC)'!U6)</f>
        <v/>
      </c>
      <c r="W6" s="266" t="s">
        <v>600</v>
      </c>
    </row>
    <row r="7" spans="1:23" ht="15" x14ac:dyDescent="0.2">
      <c r="A7" s="314" t="s">
        <v>601</v>
      </c>
      <c r="B7" s="330" t="s">
        <v>220</v>
      </c>
      <c r="C7" s="364">
        <f>+'6. HC (LC)'!C7</f>
        <v>21</v>
      </c>
      <c r="D7" s="364">
        <f>+'6. HC (LC)'!D7</f>
        <v>21</v>
      </c>
      <c r="E7" s="433">
        <f>+'6. HC (LC)'!E7</f>
        <v>20.2</v>
      </c>
      <c r="F7" s="435"/>
      <c r="G7" s="435"/>
      <c r="H7" s="435"/>
      <c r="I7" s="435"/>
      <c r="J7" s="435"/>
      <c r="K7" s="435"/>
      <c r="L7" s="435"/>
      <c r="M7" s="435"/>
      <c r="N7" s="435"/>
      <c r="O7" s="435"/>
      <c r="P7" s="435"/>
      <c r="Q7" s="364">
        <f>+'6. HC (LC)'!Q7</f>
        <v>22</v>
      </c>
      <c r="R7" s="433">
        <f>+'6. HC (LC)'!R7</f>
        <v>22</v>
      </c>
      <c r="S7" s="208">
        <f t="shared" si="0"/>
        <v>1.8000000000000007</v>
      </c>
      <c r="T7" s="295">
        <f t="shared" si="1"/>
        <v>8.9108910891089188E-2</v>
      </c>
      <c r="U7" s="438" t="str">
        <f>IF(ISBLANK('6. HC (LC)'!U7),"",'6. HC (LC)'!U7)</f>
        <v>1 operator(quality inspector) is necessary due to the quality issues</v>
      </c>
      <c r="W7" s="266" t="s">
        <v>603</v>
      </c>
    </row>
    <row r="8" spans="1:23" ht="15" x14ac:dyDescent="0.2">
      <c r="A8" s="314" t="s">
        <v>604</v>
      </c>
      <c r="B8" s="330" t="s">
        <v>220</v>
      </c>
      <c r="C8" s="364">
        <f>+'6. HC (LC)'!C8</f>
        <v>0</v>
      </c>
      <c r="D8" s="364">
        <f>+'6. HC (LC)'!D8</f>
        <v>0</v>
      </c>
      <c r="E8" s="433">
        <f>+'6. HC (LC)'!E8</f>
        <v>0</v>
      </c>
      <c r="F8" s="435"/>
      <c r="G8" s="435"/>
      <c r="H8" s="435"/>
      <c r="I8" s="435"/>
      <c r="J8" s="435"/>
      <c r="K8" s="435"/>
      <c r="L8" s="435"/>
      <c r="M8" s="435"/>
      <c r="N8" s="435"/>
      <c r="O8" s="435"/>
      <c r="P8" s="435"/>
      <c r="Q8" s="364">
        <f>+'6. HC (LC)'!Q8</f>
        <v>2</v>
      </c>
      <c r="R8" s="433">
        <f>+'6. HC (LC)'!R8</f>
        <v>2</v>
      </c>
      <c r="S8" s="208">
        <f t="shared" si="0"/>
        <v>2</v>
      </c>
      <c r="T8" s="295">
        <f t="shared" si="1"/>
        <v>0</v>
      </c>
      <c r="U8" s="438" t="str">
        <f>IF(ISBLANK('6. HC (LC)'!U8),"",'6. HC (LC)'!U8)</f>
        <v>MES does not have assigned technicians. 2 Technicians who are dedicated to MES are necessary(OEE target is not met &amp; production is below capacity during 2023 due to the lack of technicians)</v>
      </c>
      <c r="W8" s="266" t="s">
        <v>605</v>
      </c>
    </row>
    <row r="9" spans="1:23" ht="15" x14ac:dyDescent="0.2">
      <c r="A9" s="314" t="s">
        <v>606</v>
      </c>
      <c r="B9" s="330" t="s">
        <v>220</v>
      </c>
      <c r="C9" s="364">
        <f>+'6. HC (LC)'!C9</f>
        <v>1</v>
      </c>
      <c r="D9" s="364">
        <f>+'6. HC (LC)'!D9</f>
        <v>1</v>
      </c>
      <c r="E9" s="433">
        <f>+'6. HC (LC)'!E9</f>
        <v>1</v>
      </c>
      <c r="F9" s="435"/>
      <c r="G9" s="435"/>
      <c r="H9" s="435"/>
      <c r="I9" s="435"/>
      <c r="J9" s="435"/>
      <c r="K9" s="435"/>
      <c r="L9" s="435"/>
      <c r="M9" s="435"/>
      <c r="N9" s="435"/>
      <c r="O9" s="435"/>
      <c r="P9" s="435"/>
      <c r="Q9" s="364">
        <f>+'6. HC (LC)'!Q9</f>
        <v>1</v>
      </c>
      <c r="R9" s="433">
        <f>+'6. HC (LC)'!R9</f>
        <v>1</v>
      </c>
      <c r="S9" s="208">
        <f t="shared" si="0"/>
        <v>0</v>
      </c>
      <c r="T9" s="295">
        <f t="shared" si="1"/>
        <v>0</v>
      </c>
      <c r="U9" s="438" t="str">
        <f>IF(ISBLANK('6. HC (LC)'!U9),"",'6. HC (LC)'!U9)</f>
        <v/>
      </c>
      <c r="W9" s="220" t="s">
        <v>607</v>
      </c>
    </row>
    <row r="10" spans="1:23" ht="15" x14ac:dyDescent="0.2">
      <c r="A10" s="314" t="s">
        <v>608</v>
      </c>
      <c r="B10" s="330" t="s">
        <v>220</v>
      </c>
      <c r="C10" s="364">
        <f>+'6. HC (LC)'!C10</f>
        <v>1</v>
      </c>
      <c r="D10" s="364">
        <f>+'6. HC (LC)'!D10</f>
        <v>1</v>
      </c>
      <c r="E10" s="433">
        <f>+'6. HC (LC)'!E10</f>
        <v>1</v>
      </c>
      <c r="F10" s="435"/>
      <c r="G10" s="435"/>
      <c r="H10" s="435"/>
      <c r="I10" s="435"/>
      <c r="J10" s="435"/>
      <c r="K10" s="435"/>
      <c r="L10" s="435"/>
      <c r="M10" s="435"/>
      <c r="N10" s="435"/>
      <c r="O10" s="435"/>
      <c r="P10" s="435"/>
      <c r="Q10" s="364">
        <f>+'6. HC (LC)'!Q10</f>
        <v>1</v>
      </c>
      <c r="R10" s="433">
        <f>+'6. HC (LC)'!R10</f>
        <v>1</v>
      </c>
      <c r="S10" s="208">
        <f t="shared" si="0"/>
        <v>0</v>
      </c>
      <c r="T10" s="295">
        <f t="shared" si="1"/>
        <v>0</v>
      </c>
      <c r="U10" s="438" t="str">
        <f>IF(ISBLANK('6. HC (LC)'!U10),"",'6. HC (LC)'!U10)</f>
        <v/>
      </c>
      <c r="W10" s="266" t="s">
        <v>609</v>
      </c>
    </row>
    <row r="11" spans="1:23" ht="15.75" x14ac:dyDescent="0.2">
      <c r="A11" s="213" t="s">
        <v>610</v>
      </c>
      <c r="B11" s="440"/>
      <c r="C11" s="78">
        <f t="shared" ref="C11:R11" si="2">SUM(C7:C10)</f>
        <v>23</v>
      </c>
      <c r="D11" s="78">
        <f t="shared" si="2"/>
        <v>23</v>
      </c>
      <c r="E11" s="264">
        <f t="shared" si="2"/>
        <v>22.2</v>
      </c>
      <c r="F11" s="405"/>
      <c r="G11" s="405"/>
      <c r="H11" s="405"/>
      <c r="I11" s="405"/>
      <c r="J11" s="405"/>
      <c r="K11" s="405"/>
      <c r="L11" s="405"/>
      <c r="M11" s="405"/>
      <c r="N11" s="405"/>
      <c r="O11" s="405"/>
      <c r="P11" s="405"/>
      <c r="Q11" s="78">
        <f t="shared" si="2"/>
        <v>26</v>
      </c>
      <c r="R11" s="264">
        <f t="shared" si="2"/>
        <v>26</v>
      </c>
      <c r="S11" s="78">
        <f t="shared" si="0"/>
        <v>3.8000000000000007</v>
      </c>
      <c r="T11" s="492">
        <f t="shared" si="1"/>
        <v>0.1711711711711712</v>
      </c>
      <c r="U11" s="878" t="str">
        <f>IF(ISBLANK('6. HC (LC)'!U11),"",'6. HC (LC)'!U11)</f>
        <v/>
      </c>
      <c r="W11" s="266"/>
    </row>
    <row r="12" spans="1:23" ht="15" x14ac:dyDescent="0.2">
      <c r="A12" s="314" t="s">
        <v>611</v>
      </c>
      <c r="B12" s="330" t="s">
        <v>237</v>
      </c>
      <c r="C12" s="364">
        <f>+'6. HC (LC)'!C12</f>
        <v>1</v>
      </c>
      <c r="D12" s="364">
        <f>+'6. HC (LC)'!D12</f>
        <v>1</v>
      </c>
      <c r="E12" s="433">
        <f>+'6. HC (LC)'!E12</f>
        <v>1</v>
      </c>
      <c r="F12" s="364">
        <f>+'6. HC (LC)'!F12</f>
        <v>1</v>
      </c>
      <c r="G12" s="364">
        <f>+'6. HC (LC)'!G12</f>
        <v>1</v>
      </c>
      <c r="H12" s="364">
        <f>+'6. HC (LC)'!H12</f>
        <v>1</v>
      </c>
      <c r="I12" s="364">
        <f>+'6. HC (LC)'!I12</f>
        <v>1</v>
      </c>
      <c r="J12" s="364">
        <f>+'6. HC (LC)'!J12</f>
        <v>1</v>
      </c>
      <c r="K12" s="364">
        <f>+'6. HC (LC)'!K12</f>
        <v>1</v>
      </c>
      <c r="L12" s="364">
        <f>+'6. HC (LC)'!L12</f>
        <v>1</v>
      </c>
      <c r="M12" s="364">
        <f>+'6. HC (LC)'!M12</f>
        <v>1</v>
      </c>
      <c r="N12" s="364">
        <f>+'6. HC (LC)'!N12</f>
        <v>1</v>
      </c>
      <c r="O12" s="364">
        <f>+'6. HC (LC)'!O12</f>
        <v>1</v>
      </c>
      <c r="P12" s="364">
        <f>+'6. HC (LC)'!P12</f>
        <v>1</v>
      </c>
      <c r="Q12" s="364">
        <f>+'6. HC (LC)'!Q12</f>
        <v>1</v>
      </c>
      <c r="R12" s="433">
        <f>+'6. HC (LC)'!R12</f>
        <v>1</v>
      </c>
      <c r="S12" s="208">
        <f t="shared" si="0"/>
        <v>0</v>
      </c>
      <c r="T12" s="295">
        <f t="shared" si="1"/>
        <v>0</v>
      </c>
      <c r="U12" s="438" t="str">
        <f>IF(ISBLANK('6. HC (LC)'!U12),"",'6. HC (LC)'!U12)</f>
        <v/>
      </c>
      <c r="W12" s="266" t="s">
        <v>612</v>
      </c>
    </row>
    <row r="13" spans="1:23" ht="15" x14ac:dyDescent="0.2">
      <c r="A13" s="314" t="s">
        <v>606</v>
      </c>
      <c r="B13" s="330" t="s">
        <v>237</v>
      </c>
      <c r="C13" s="364">
        <f>+'6. HC (LC)'!C13</f>
        <v>0</v>
      </c>
      <c r="D13" s="364">
        <f>+'6. HC (LC)'!D13</f>
        <v>0</v>
      </c>
      <c r="E13" s="433">
        <f>+'6. HC (LC)'!E13</f>
        <v>0</v>
      </c>
      <c r="F13" s="364">
        <f>+'6. HC (LC)'!F13</f>
        <v>0</v>
      </c>
      <c r="G13" s="364">
        <f>+'6. HC (LC)'!G13</f>
        <v>0</v>
      </c>
      <c r="H13" s="364">
        <f>+'6. HC (LC)'!H13</f>
        <v>0</v>
      </c>
      <c r="I13" s="364">
        <f>+'6. HC (LC)'!I13</f>
        <v>0</v>
      </c>
      <c r="J13" s="364">
        <f>+'6. HC (LC)'!J13</f>
        <v>0</v>
      </c>
      <c r="K13" s="364">
        <f>+'6. HC (LC)'!K13</f>
        <v>0</v>
      </c>
      <c r="L13" s="364">
        <f>+'6. HC (LC)'!L13</f>
        <v>0</v>
      </c>
      <c r="M13" s="364">
        <f>+'6. HC (LC)'!M13</f>
        <v>0</v>
      </c>
      <c r="N13" s="364">
        <f>+'6. HC (LC)'!N13</f>
        <v>0</v>
      </c>
      <c r="O13" s="364">
        <f>+'6. HC (LC)'!O13</f>
        <v>0</v>
      </c>
      <c r="P13" s="364">
        <f>+'6. HC (LC)'!P13</f>
        <v>0</v>
      </c>
      <c r="Q13" s="364">
        <f>+'6. HC (LC)'!Q13</f>
        <v>0</v>
      </c>
      <c r="R13" s="433">
        <f>+'6. HC (LC)'!R13</f>
        <v>0</v>
      </c>
      <c r="S13" s="208">
        <f t="shared" si="0"/>
        <v>0</v>
      </c>
      <c r="T13" s="295">
        <f t="shared" si="1"/>
        <v>0</v>
      </c>
      <c r="U13" s="438" t="str">
        <f>IF(ISBLANK('6. HC (LC)'!U13),"",'6. HC (LC)'!U13)</f>
        <v/>
      </c>
      <c r="W13" s="266" t="s">
        <v>613</v>
      </c>
    </row>
    <row r="14" spans="1:23" ht="15" x14ac:dyDescent="0.2">
      <c r="A14" s="314" t="s">
        <v>614</v>
      </c>
      <c r="B14" s="330" t="s">
        <v>237</v>
      </c>
      <c r="C14" s="364">
        <f>+'6. HC (LC)'!C14</f>
        <v>0</v>
      </c>
      <c r="D14" s="364">
        <f>+'6. HC (LC)'!D14</f>
        <v>0</v>
      </c>
      <c r="E14" s="433">
        <f>+'6. HC (LC)'!E14</f>
        <v>0</v>
      </c>
      <c r="F14" s="364">
        <f>+'6. HC (LC)'!F14</f>
        <v>0</v>
      </c>
      <c r="G14" s="364">
        <f>+'6. HC (LC)'!G14</f>
        <v>0</v>
      </c>
      <c r="H14" s="364">
        <f>+'6. HC (LC)'!H14</f>
        <v>0</v>
      </c>
      <c r="I14" s="364">
        <f>+'6. HC (LC)'!I14</f>
        <v>0</v>
      </c>
      <c r="J14" s="364">
        <f>+'6. HC (LC)'!J14</f>
        <v>0</v>
      </c>
      <c r="K14" s="364">
        <f>+'6. HC (LC)'!K14</f>
        <v>0</v>
      </c>
      <c r="L14" s="364">
        <f>+'6. HC (LC)'!L14</f>
        <v>0</v>
      </c>
      <c r="M14" s="364">
        <f>+'6. HC (LC)'!M14</f>
        <v>0</v>
      </c>
      <c r="N14" s="364">
        <f>+'6. HC (LC)'!N14</f>
        <v>0</v>
      </c>
      <c r="O14" s="364">
        <f>+'6. HC (LC)'!O14</f>
        <v>0</v>
      </c>
      <c r="P14" s="364">
        <f>+'6. HC (LC)'!P14</f>
        <v>0</v>
      </c>
      <c r="Q14" s="364">
        <f>+'6. HC (LC)'!Q14</f>
        <v>0</v>
      </c>
      <c r="R14" s="433">
        <f>+'6. HC (LC)'!R14</f>
        <v>0</v>
      </c>
      <c r="S14" s="208">
        <f t="shared" si="0"/>
        <v>0</v>
      </c>
      <c r="T14" s="295">
        <f t="shared" si="1"/>
        <v>0</v>
      </c>
      <c r="U14" s="438" t="str">
        <f>IF(ISBLANK('6. HC (LC)'!U14),"",'6. HC (LC)'!U14)</f>
        <v/>
      </c>
      <c r="W14" s="266" t="s">
        <v>615</v>
      </c>
    </row>
    <row r="15" spans="1:23" ht="15" x14ac:dyDescent="0.2">
      <c r="A15" s="314" t="s">
        <v>608</v>
      </c>
      <c r="B15" s="330" t="s">
        <v>237</v>
      </c>
      <c r="C15" s="364">
        <f>+'6. HC (LC)'!C15</f>
        <v>0</v>
      </c>
      <c r="D15" s="364">
        <f>+'6. HC (LC)'!D15</f>
        <v>0</v>
      </c>
      <c r="E15" s="433">
        <f>+'6. HC (LC)'!E15</f>
        <v>0</v>
      </c>
      <c r="F15" s="364">
        <f>+'6. HC (LC)'!F15</f>
        <v>0</v>
      </c>
      <c r="G15" s="364">
        <f>+'6. HC (LC)'!G15</f>
        <v>0</v>
      </c>
      <c r="H15" s="364">
        <f>+'6. HC (LC)'!H15</f>
        <v>0</v>
      </c>
      <c r="I15" s="364">
        <f>+'6. HC (LC)'!I15</f>
        <v>0</v>
      </c>
      <c r="J15" s="364">
        <f>+'6. HC (LC)'!J15</f>
        <v>0</v>
      </c>
      <c r="K15" s="364">
        <f>+'6. HC (LC)'!K15</f>
        <v>0</v>
      </c>
      <c r="L15" s="364">
        <f>+'6. HC (LC)'!L15</f>
        <v>0</v>
      </c>
      <c r="M15" s="364">
        <f>+'6. HC (LC)'!M15</f>
        <v>0</v>
      </c>
      <c r="N15" s="364">
        <f>+'6. HC (LC)'!N15</f>
        <v>0</v>
      </c>
      <c r="O15" s="364">
        <f>+'6. HC (LC)'!O15</f>
        <v>0</v>
      </c>
      <c r="P15" s="364">
        <f>+'6. HC (LC)'!P15</f>
        <v>0</v>
      </c>
      <c r="Q15" s="364">
        <f>+'6. HC (LC)'!Q15</f>
        <v>0</v>
      </c>
      <c r="R15" s="433">
        <f>+'6. HC (LC)'!R15</f>
        <v>0</v>
      </c>
      <c r="S15" s="208">
        <f t="shared" si="0"/>
        <v>0</v>
      </c>
      <c r="T15" s="295">
        <f t="shared" si="1"/>
        <v>0</v>
      </c>
      <c r="U15" s="438" t="str">
        <f>IF(ISBLANK('6. HC (LC)'!U15),"",'6. HC (LC)'!U15)</f>
        <v/>
      </c>
      <c r="W15" s="266" t="s">
        <v>616</v>
      </c>
    </row>
    <row r="16" spans="1:23" ht="15" x14ac:dyDescent="0.2">
      <c r="A16" s="314" t="s">
        <v>617</v>
      </c>
      <c r="B16" s="330" t="s">
        <v>237</v>
      </c>
      <c r="C16" s="364">
        <f>+'6. HC (LC)'!C16</f>
        <v>0</v>
      </c>
      <c r="D16" s="364">
        <f>+'6. HC (LC)'!D16</f>
        <v>0</v>
      </c>
      <c r="E16" s="433">
        <f>+'6. HC (LC)'!E16</f>
        <v>0</v>
      </c>
      <c r="F16" s="364">
        <f>+'6. HC (LC)'!F16</f>
        <v>0</v>
      </c>
      <c r="G16" s="364">
        <f>+'6. HC (LC)'!G16</f>
        <v>0</v>
      </c>
      <c r="H16" s="364">
        <f>+'6. HC (LC)'!H16</f>
        <v>0</v>
      </c>
      <c r="I16" s="364">
        <f>+'6. HC (LC)'!I16</f>
        <v>0</v>
      </c>
      <c r="J16" s="364">
        <f>+'6. HC (LC)'!J16</f>
        <v>0</v>
      </c>
      <c r="K16" s="364">
        <f>+'6. HC (LC)'!K16</f>
        <v>0</v>
      </c>
      <c r="L16" s="364">
        <f>+'6. HC (LC)'!L16</f>
        <v>0</v>
      </c>
      <c r="M16" s="364">
        <f>+'6. HC (LC)'!M16</f>
        <v>0</v>
      </c>
      <c r="N16" s="364">
        <f>+'6. HC (LC)'!N16</f>
        <v>0</v>
      </c>
      <c r="O16" s="364">
        <f>+'6. HC (LC)'!O16</f>
        <v>0</v>
      </c>
      <c r="P16" s="364">
        <f>+'6. HC (LC)'!P16</f>
        <v>0</v>
      </c>
      <c r="Q16" s="364">
        <f>+'6. HC (LC)'!Q16</f>
        <v>0</v>
      </c>
      <c r="R16" s="433">
        <f>+'6. HC (LC)'!R16</f>
        <v>0</v>
      </c>
      <c r="S16" s="208">
        <f t="shared" si="0"/>
        <v>0</v>
      </c>
      <c r="T16" s="295">
        <f t="shared" si="1"/>
        <v>0</v>
      </c>
      <c r="U16" s="438" t="str">
        <f>IF(ISBLANK('6. HC (LC)'!U16),"",'6. HC (LC)'!U16)</f>
        <v/>
      </c>
      <c r="W16" s="266" t="s">
        <v>618</v>
      </c>
    </row>
    <row r="17" spans="1:23" ht="15" x14ac:dyDescent="0.25">
      <c r="A17" s="348" t="s">
        <v>619</v>
      </c>
      <c r="B17" s="330" t="s">
        <v>237</v>
      </c>
      <c r="C17" s="364">
        <f>+'6. HC (LC)'!C17</f>
        <v>0</v>
      </c>
      <c r="D17" s="364">
        <f>+'6. HC (LC)'!D17</f>
        <v>0</v>
      </c>
      <c r="E17" s="433">
        <f>+'6. HC (LC)'!E17</f>
        <v>0</v>
      </c>
      <c r="F17" s="364">
        <f>+'6. HC (LC)'!F17</f>
        <v>0</v>
      </c>
      <c r="G17" s="364">
        <f>+'6. HC (LC)'!G17</f>
        <v>0</v>
      </c>
      <c r="H17" s="364">
        <f>+'6. HC (LC)'!H17</f>
        <v>0</v>
      </c>
      <c r="I17" s="364">
        <f>+'6. HC (LC)'!I17</f>
        <v>0</v>
      </c>
      <c r="J17" s="364">
        <f>+'6. HC (LC)'!J17</f>
        <v>0</v>
      </c>
      <c r="K17" s="364">
        <f>+'6. HC (LC)'!K17</f>
        <v>0</v>
      </c>
      <c r="L17" s="364">
        <f>+'6. HC (LC)'!L17</f>
        <v>0</v>
      </c>
      <c r="M17" s="364">
        <f>+'6. HC (LC)'!M17</f>
        <v>0</v>
      </c>
      <c r="N17" s="364">
        <f>+'6. HC (LC)'!N17</f>
        <v>0</v>
      </c>
      <c r="O17" s="364">
        <f>+'6. HC (LC)'!O17</f>
        <v>0</v>
      </c>
      <c r="P17" s="364">
        <f>+'6. HC (LC)'!P17</f>
        <v>0</v>
      </c>
      <c r="Q17" s="364">
        <f>+'6. HC (LC)'!Q17</f>
        <v>0</v>
      </c>
      <c r="R17" s="433">
        <f>+'6. HC (LC)'!R17</f>
        <v>0</v>
      </c>
      <c r="S17" s="208">
        <f t="shared" si="0"/>
        <v>0</v>
      </c>
      <c r="T17" s="295">
        <f t="shared" si="1"/>
        <v>0</v>
      </c>
      <c r="U17" s="438" t="str">
        <f>IF(ISBLANK('6. HC (LC)'!U17),"",'6. HC (LC)'!U17)</f>
        <v/>
      </c>
      <c r="W17" s="266" t="s">
        <v>619</v>
      </c>
    </row>
    <row r="18" spans="1:23" ht="15.75" x14ac:dyDescent="0.2">
      <c r="A18" s="213" t="s">
        <v>620</v>
      </c>
      <c r="B18" s="440"/>
      <c r="C18" s="78">
        <f t="shared" ref="C18" si="3">SUM(C12:C17)</f>
        <v>1</v>
      </c>
      <c r="D18" s="78">
        <f t="shared" ref="D18:R18" si="4">SUM(D12:D17)</f>
        <v>1</v>
      </c>
      <c r="E18" s="264">
        <f t="shared" si="4"/>
        <v>1</v>
      </c>
      <c r="F18" s="78">
        <f t="shared" si="4"/>
        <v>1</v>
      </c>
      <c r="G18" s="78">
        <f t="shared" si="4"/>
        <v>1</v>
      </c>
      <c r="H18" s="78">
        <f t="shared" si="4"/>
        <v>1</v>
      </c>
      <c r="I18" s="78">
        <f t="shared" si="4"/>
        <v>1</v>
      </c>
      <c r="J18" s="78">
        <f t="shared" si="4"/>
        <v>1</v>
      </c>
      <c r="K18" s="78">
        <f t="shared" si="4"/>
        <v>1</v>
      </c>
      <c r="L18" s="78">
        <f t="shared" si="4"/>
        <v>1</v>
      </c>
      <c r="M18" s="78">
        <f t="shared" si="4"/>
        <v>1</v>
      </c>
      <c r="N18" s="78">
        <f t="shared" si="4"/>
        <v>1</v>
      </c>
      <c r="O18" s="78">
        <f t="shared" si="4"/>
        <v>1</v>
      </c>
      <c r="P18" s="78">
        <f t="shared" si="4"/>
        <v>1</v>
      </c>
      <c r="Q18" s="78">
        <f t="shared" si="4"/>
        <v>1</v>
      </c>
      <c r="R18" s="264">
        <f t="shared" si="4"/>
        <v>1</v>
      </c>
      <c r="S18" s="78">
        <f t="shared" si="0"/>
        <v>0</v>
      </c>
      <c r="T18" s="492">
        <f t="shared" si="1"/>
        <v>0</v>
      </c>
      <c r="U18" s="878" t="str">
        <f>IF(ISBLANK('6. HC (LC)'!U18),"",'6. HC (LC)'!U18)</f>
        <v/>
      </c>
      <c r="W18" s="266"/>
    </row>
    <row r="19" spans="1:23" ht="15.75" x14ac:dyDescent="0.2">
      <c r="A19" s="213" t="s">
        <v>621</v>
      </c>
      <c r="B19" s="440"/>
      <c r="C19" s="78">
        <f>C18+C11</f>
        <v>24</v>
      </c>
      <c r="D19" s="78">
        <f>D18+D11</f>
        <v>24</v>
      </c>
      <c r="E19" s="264">
        <f>E18+E11</f>
        <v>23.2</v>
      </c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78">
        <f>Q18+Q11</f>
        <v>27</v>
      </c>
      <c r="R19" s="264">
        <f>R18+R11</f>
        <v>27</v>
      </c>
      <c r="S19" s="78">
        <f t="shared" si="0"/>
        <v>3.8000000000000007</v>
      </c>
      <c r="T19" s="492">
        <f t="shared" si="1"/>
        <v>0.1637931034482758</v>
      </c>
      <c r="U19" s="878" t="str">
        <f>IF(ISBLANK('6. HC (LC)'!U19),"",'6. HC (LC)'!U19)</f>
        <v/>
      </c>
      <c r="W19" s="266"/>
    </row>
    <row r="20" spans="1:23" ht="15" x14ac:dyDescent="0.2">
      <c r="A20" s="432"/>
      <c r="B20" s="771"/>
      <c r="C20" s="432"/>
      <c r="D20" s="430"/>
      <c r="E20" s="431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1"/>
      <c r="S20" s="430"/>
      <c r="T20" s="772"/>
      <c r="U20" s="429" t="str">
        <f>IF(ISBLANK('6. HC (LC)'!U20),"",'6. HC (LC)'!U20)</f>
        <v/>
      </c>
      <c r="W20" s="427"/>
    </row>
    <row r="21" spans="1:23" ht="15.75" x14ac:dyDescent="0.2">
      <c r="A21" s="213" t="s">
        <v>622</v>
      </c>
      <c r="B21" s="440" t="s">
        <v>220</v>
      </c>
      <c r="C21" s="78">
        <f>+'6. HC (LC)'!C21</f>
        <v>0</v>
      </c>
      <c r="D21" s="78">
        <f>+'6. HC (LC)'!D21</f>
        <v>0</v>
      </c>
      <c r="E21" s="264">
        <f>+'6. HC (LC)'!E21</f>
        <v>0</v>
      </c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728">
        <f>+'6. HC (LC)'!Q21</f>
        <v>0</v>
      </c>
      <c r="R21" s="774">
        <f>+'6. HC (LC)'!R21</f>
        <v>0</v>
      </c>
      <c r="S21" s="78">
        <f>R21-E21</f>
        <v>0</v>
      </c>
      <c r="T21" s="492">
        <f>IFERROR(R21/E21-1,0)</f>
        <v>0</v>
      </c>
      <c r="U21" s="878" t="str">
        <f>IF(ISBLANK('6. HC (LC)'!U21),"",'6. HC (LC)'!U21)</f>
        <v/>
      </c>
      <c r="W21" s="266" t="s">
        <v>623</v>
      </c>
    </row>
    <row r="22" spans="1:23" ht="15.75" x14ac:dyDescent="0.2">
      <c r="A22" s="213" t="s">
        <v>622</v>
      </c>
      <c r="B22" s="440" t="s">
        <v>237</v>
      </c>
      <c r="C22" s="78">
        <f>+'6. HC (LC)'!C22</f>
        <v>3</v>
      </c>
      <c r="D22" s="78">
        <f>+'6. HC (LC)'!D22</f>
        <v>4</v>
      </c>
      <c r="E22" s="264">
        <f>+'6. HC (LC)'!E22</f>
        <v>4</v>
      </c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728">
        <f>+'6. HC (LC)'!Q22</f>
        <v>4</v>
      </c>
      <c r="R22" s="774">
        <f>+'6. HC (LC)'!R22</f>
        <v>4</v>
      </c>
      <c r="S22" s="78">
        <f>R22-E22</f>
        <v>0</v>
      </c>
      <c r="T22" s="492">
        <f>IFERROR(R22/E22-1,0)</f>
        <v>0</v>
      </c>
      <c r="U22" s="878" t="str">
        <f>IF(ISBLANK('6. HC (LC)'!U22),"",'6. HC (LC)'!U22)</f>
        <v/>
      </c>
      <c r="W22" s="266" t="s">
        <v>624</v>
      </c>
    </row>
    <row r="23" spans="1:23" ht="15.75" x14ac:dyDescent="0.2">
      <c r="A23" s="424"/>
      <c r="B23" s="770"/>
      <c r="C23" s="424"/>
      <c r="D23" s="422"/>
      <c r="E23" s="423"/>
      <c r="F23" s="729"/>
      <c r="G23" s="729"/>
      <c r="H23" s="729"/>
      <c r="I23" s="729"/>
      <c r="J23" s="729"/>
      <c r="K23" s="729"/>
      <c r="L23" s="729"/>
      <c r="M23" s="729"/>
      <c r="N23" s="729"/>
      <c r="O23" s="729"/>
      <c r="P23" s="729"/>
      <c r="Q23" s="729"/>
      <c r="R23" s="730"/>
      <c r="S23" s="422"/>
      <c r="T23" s="773"/>
      <c r="U23" s="429" t="str">
        <f>IF(ISBLANK('6. HC (LC)'!U23),"",'6. HC (LC)'!U23)</f>
        <v/>
      </c>
      <c r="W23" s="420"/>
    </row>
    <row r="24" spans="1:23" ht="15.75" x14ac:dyDescent="0.2">
      <c r="A24" s="213" t="s">
        <v>625</v>
      </c>
      <c r="B24" s="440"/>
      <c r="C24" s="78">
        <f>KeyData!F22</f>
        <v>23</v>
      </c>
      <c r="D24" s="78">
        <f>KeyData!G22</f>
        <v>23</v>
      </c>
      <c r="E24" s="264">
        <f>+'6. HC (LC)'!E24</f>
        <v>22</v>
      </c>
      <c r="F24" s="405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78">
        <f>KeyData!H22</f>
        <v>26</v>
      </c>
      <c r="R24" s="774">
        <f>+'6. HC (LC)'!R24</f>
        <v>26</v>
      </c>
      <c r="S24" s="78">
        <f>R24-E24</f>
        <v>4</v>
      </c>
      <c r="T24" s="492">
        <f>IFERROR(R24/E24-1,0)</f>
        <v>0.18181818181818188</v>
      </c>
      <c r="U24" s="878" t="str">
        <f>IF(ISBLANK('6. HC (LC)'!U24),"",'6. HC (LC)'!U24)</f>
        <v/>
      </c>
      <c r="W24" s="266" t="s">
        <v>626</v>
      </c>
    </row>
    <row r="25" spans="1:23" ht="15.75" x14ac:dyDescent="0.2">
      <c r="A25" s="213" t="s">
        <v>627</v>
      </c>
      <c r="B25" s="440"/>
      <c r="C25" s="78">
        <f>KeyData!F23</f>
        <v>4</v>
      </c>
      <c r="D25" s="78">
        <f>KeyData!G23</f>
        <v>5</v>
      </c>
      <c r="E25" s="264">
        <f>+'6. HC (LC)'!E25</f>
        <v>5</v>
      </c>
      <c r="F25" s="405"/>
      <c r="G25" s="405"/>
      <c r="H25" s="405"/>
      <c r="I25" s="405"/>
      <c r="J25" s="405"/>
      <c r="K25" s="405"/>
      <c r="L25" s="405"/>
      <c r="M25" s="405"/>
      <c r="N25" s="405"/>
      <c r="O25" s="405"/>
      <c r="P25" s="405"/>
      <c r="Q25" s="78">
        <f>KeyData!H23</f>
        <v>5</v>
      </c>
      <c r="R25" s="774">
        <f>+'6. HC (LC)'!R25</f>
        <v>5</v>
      </c>
      <c r="S25" s="78">
        <f>R25-E25</f>
        <v>0</v>
      </c>
      <c r="T25" s="492">
        <f>IFERROR(R25/E25-1,0)</f>
        <v>0</v>
      </c>
      <c r="U25" s="878" t="str">
        <f>IF(ISBLANK('6. HC (LC)'!U25),"",'6. HC (LC)'!U25)</f>
        <v/>
      </c>
      <c r="W25" s="418" t="s">
        <v>628</v>
      </c>
    </row>
    <row r="26" spans="1:23" ht="15.75" x14ac:dyDescent="0.25">
      <c r="A26" s="220" t="s">
        <v>487</v>
      </c>
      <c r="B26" s="769"/>
      <c r="C26" s="96">
        <f>SUM(C24:C25)-SUM(C11,C18,C21,C22)</f>
        <v>0</v>
      </c>
      <c r="D26" s="96">
        <f>SUM(D24:D25)-SUM(D11,D18,D21,D22)</f>
        <v>0</v>
      </c>
      <c r="E26" s="766">
        <f>SUM(E24:E25)-E21-E18-E11-E22</f>
        <v>-0.19999999999999929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0</v>
      </c>
      <c r="R26" s="766">
        <f>SUM(R24:R25)-R21-R18-R11-R22</f>
        <v>0</v>
      </c>
      <c r="S26" s="96"/>
      <c r="T26" s="766"/>
      <c r="U26" s="287" t="str">
        <f>IF(ISBLANK('6. HC (LC)'!U26),"",'6. HC (LC)'!U26)</f>
        <v/>
      </c>
      <c r="W26" s="643"/>
    </row>
    <row r="27" spans="1:23" ht="15.75" x14ac:dyDescent="0.25">
      <c r="B27" s="769"/>
      <c r="C27" s="96"/>
      <c r="D27" s="96"/>
      <c r="E27" s="76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66"/>
      <c r="S27" s="96"/>
      <c r="T27" s="766"/>
      <c r="U27" s="287"/>
      <c r="W27" s="643"/>
    </row>
    <row r="28" spans="1:23" ht="15.75" x14ac:dyDescent="0.2">
      <c r="A28" s="213" t="s">
        <v>629</v>
      </c>
      <c r="B28" s="440"/>
      <c r="C28" s="78"/>
      <c r="D28" s="78"/>
      <c r="E28" s="264">
        <f>+'6. HC (LC)'!E28/'Input-FX Rates'!$G$16</f>
        <v>-43.031944007519016</v>
      </c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78"/>
      <c r="R28" s="264">
        <f>+'6. HC (LC)'!R28/'Input-FX Rates'!$H$16</f>
        <v>-36.288894005305039</v>
      </c>
      <c r="S28" s="78">
        <f>R28-E28</f>
        <v>6.7430500022139768</v>
      </c>
      <c r="T28" s="492">
        <f>IFERROR(R28/E28-1,0)</f>
        <v>-0.15669870738435054</v>
      </c>
      <c r="U28" s="878" t="str">
        <f>IF(ISBLANK('6. HC (LC)'!U28),"",'6. HC (LC)'!U28)</f>
        <v/>
      </c>
      <c r="W28" s="266" t="s">
        <v>630</v>
      </c>
    </row>
    <row r="29" spans="1:23" s="348" customFormat="1" ht="15" x14ac:dyDescent="0.25">
      <c r="A29" s="956" t="s">
        <v>631</v>
      </c>
      <c r="B29" s="330"/>
      <c r="C29" s="962"/>
      <c r="D29" s="364"/>
      <c r="E29" s="433">
        <f>+'6. HC (LC)'!E29/'Input-FX Rates'!$G$16</f>
        <v>47549.512953855716</v>
      </c>
      <c r="F29" s="364"/>
      <c r="G29" s="314"/>
      <c r="H29" s="314"/>
      <c r="I29" s="314"/>
      <c r="J29" s="314"/>
      <c r="K29" s="314"/>
      <c r="L29" s="314"/>
      <c r="M29" s="314"/>
      <c r="N29" s="314"/>
      <c r="O29" s="314"/>
      <c r="P29" s="314"/>
      <c r="Q29" s="437"/>
      <c r="R29" s="775">
        <f>+'6. HC (LC)'!R29/'Input-FX Rates'!$H$16</f>
        <v>47813.206896551725</v>
      </c>
      <c r="S29" s="413">
        <f>R29-E29</f>
        <v>263.69394269600889</v>
      </c>
      <c r="T29" s="767">
        <f>IFERROR(R29/E29-1,0)</f>
        <v>5.545670740138009E-3</v>
      </c>
      <c r="U29" s="879" t="str">
        <f>IF(ISBLANK('6. HC (LC)'!U29),"",'6. HC (LC)'!U29)</f>
        <v/>
      </c>
      <c r="W29" s="219" t="s">
        <v>632</v>
      </c>
    </row>
    <row r="30" spans="1:23" s="348" customFormat="1" ht="15" x14ac:dyDescent="0.25">
      <c r="A30" s="956" t="s">
        <v>633</v>
      </c>
      <c r="B30" s="330"/>
      <c r="C30" s="962"/>
      <c r="D30" s="364"/>
      <c r="E30" s="433">
        <f>+'6. HC (LC)'!E30/'Input-FX Rates'!$G$16</f>
        <v>64420.636456393833</v>
      </c>
      <c r="F30" s="364"/>
      <c r="G30" s="314"/>
      <c r="H30" s="314"/>
      <c r="I30" s="314"/>
      <c r="J30" s="314"/>
      <c r="K30" s="314"/>
      <c r="L30" s="314"/>
      <c r="M30" s="314"/>
      <c r="N30" s="314"/>
      <c r="O30" s="314"/>
      <c r="P30" s="314"/>
      <c r="Q30" s="437"/>
      <c r="R30" s="775">
        <f>+'6. HC (LC)'!R30/'Input-FX Rates'!$H$16</f>
        <v>64792.45379310345</v>
      </c>
      <c r="S30" s="413">
        <f>R30-E30</f>
        <v>371.81733670961694</v>
      </c>
      <c r="T30" s="767">
        <f>IFERROR(R30/E30-1,0)</f>
        <v>5.7717116309663474E-3</v>
      </c>
      <c r="U30" s="879" t="str">
        <f>IF(ISBLANK('6. HC (LC)'!U30),"",'6. HC (LC)'!U30)</f>
        <v/>
      </c>
      <c r="W30" s="348" t="s">
        <v>634</v>
      </c>
    </row>
    <row r="31" spans="1:23" s="348" customFormat="1" ht="15" x14ac:dyDescent="0.25">
      <c r="A31" s="956" t="s">
        <v>635</v>
      </c>
      <c r="B31" s="330"/>
      <c r="C31" s="962"/>
      <c r="D31" s="364"/>
      <c r="E31" s="433">
        <f>+'6. HC (LC)'!E31/'Input-FX Rates'!$G$16</f>
        <v>94194.068315307217</v>
      </c>
      <c r="F31" s="364"/>
      <c r="G31" s="314"/>
      <c r="H31" s="314"/>
      <c r="I31" s="314"/>
      <c r="J31" s="314"/>
      <c r="K31" s="314"/>
      <c r="L31" s="314"/>
      <c r="M31" s="314"/>
      <c r="N31" s="314"/>
      <c r="O31" s="314"/>
      <c r="P31" s="314"/>
      <c r="Q31" s="437"/>
      <c r="R31" s="775">
        <f>+'6. HC (LC)'!R31/'Input-FX Rates'!$H$16</f>
        <v>95113.240689655169</v>
      </c>
      <c r="S31" s="413">
        <f>R31-E31</f>
        <v>919.17237434795243</v>
      </c>
      <c r="T31" s="767">
        <f>IFERROR(R31/E31-1,0)</f>
        <v>9.7582829873223975E-3</v>
      </c>
      <c r="U31" s="879" t="str">
        <f>IF(ISBLANK('6. HC (LC)'!U31),"",'6. HC (LC)'!U31)</f>
        <v/>
      </c>
      <c r="W31" s="219" t="s">
        <v>636</v>
      </c>
    </row>
    <row r="32" spans="1:23" s="348" customFormat="1" ht="15" x14ac:dyDescent="0.25">
      <c r="A32" s="956" t="s">
        <v>637</v>
      </c>
      <c r="B32" s="770"/>
      <c r="C32" s="961"/>
      <c r="D32" s="314"/>
      <c r="E32" s="423"/>
      <c r="F32" s="314"/>
      <c r="G32" s="314"/>
      <c r="H32" s="314"/>
      <c r="I32" s="314"/>
      <c r="J32" s="314"/>
      <c r="K32" s="314"/>
      <c r="L32" s="314"/>
      <c r="M32" s="314"/>
      <c r="N32" s="314"/>
      <c r="O32" s="314"/>
      <c r="P32" s="314"/>
      <c r="Q32" s="314"/>
      <c r="R32" s="775">
        <f>'6. HC (LC)'!R32</f>
        <v>97223</v>
      </c>
      <c r="S32" s="960"/>
      <c r="T32" s="767"/>
      <c r="U32" s="879" t="str">
        <f>IF(ISBLANK('6. HC (LC)'!U32),"",'6. HC (LC)'!U32)</f>
        <v/>
      </c>
      <c r="W32" s="219" t="s">
        <v>638</v>
      </c>
    </row>
    <row r="33" spans="1:1020 1028:2047 2055:3071 3073:5115 5123:6142 6150:9210 9218:10237 10245:11264 11272:12288 12290:13305 13313:14332 14340:15359 15367:16383" s="348" customFormat="1" ht="15" x14ac:dyDescent="0.25">
      <c r="A33" s="956" t="s">
        <v>639</v>
      </c>
      <c r="B33" s="770"/>
      <c r="C33" s="961"/>
      <c r="D33" s="314"/>
      <c r="E33" s="423"/>
      <c r="F33" s="314"/>
      <c r="G33" s="314"/>
      <c r="H33" s="314"/>
      <c r="I33" s="314"/>
      <c r="J33" s="314"/>
      <c r="K33" s="314"/>
      <c r="L33" s="314"/>
      <c r="M33" s="314"/>
      <c r="N33" s="314"/>
      <c r="O33" s="314"/>
      <c r="P33" s="314"/>
      <c r="Q33" s="314"/>
      <c r="R33" s="775">
        <f>'6. HC (LC)'!R33</f>
        <v>2939829</v>
      </c>
      <c r="S33" s="960"/>
      <c r="T33" s="767"/>
      <c r="U33" s="879" t="str">
        <f>IF(ISBLANK('6. HC (LC)'!U33),"",'6. HC (LC)'!U33)</f>
        <v/>
      </c>
      <c r="W33" s="219" t="s">
        <v>640</v>
      </c>
    </row>
    <row r="34" spans="1:1020 1028:2047 2055:3071 3073:5115 5123:6142 6150:9210 9218:10237 10245:11264 11272:12288 12290:13305 13313:14332 14340:15359 15367:16383" ht="15" x14ac:dyDescent="0.2">
      <c r="A34" s="414"/>
      <c r="B34" s="756"/>
      <c r="C34" s="681"/>
      <c r="D34" s="326"/>
      <c r="E34" s="756"/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756"/>
      <c r="S34" s="413"/>
      <c r="T34" s="767"/>
      <c r="U34" s="326"/>
      <c r="W34" s="266"/>
    </row>
    <row r="35" spans="1:1020 1028:2047 2055:3071 3073:5115 5123:6142 6150:9210 9218:10237 10245:11264 11272:12288 12290:13305 13313:14332 14340:15359 15367:16383" s="758" customFormat="1" ht="31.5" x14ac:dyDescent="0.2">
      <c r="A35" s="213" t="s">
        <v>641</v>
      </c>
      <c r="B35" s="440"/>
      <c r="C35" s="213"/>
      <c r="D35" s="78"/>
      <c r="E35" s="264"/>
      <c r="F35" s="78"/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78" t="s">
        <v>642</v>
      </c>
      <c r="R35" s="835" t="s">
        <v>643</v>
      </c>
      <c r="S35" s="78"/>
      <c r="T35" s="492"/>
      <c r="U35" s="416"/>
      <c r="W35" s="266" t="s">
        <v>644</v>
      </c>
      <c r="AA35" s="1035"/>
      <c r="AB35" s="1035"/>
      <c r="AC35" s="759"/>
      <c r="AE35" s="759"/>
      <c r="AF35" s="759"/>
      <c r="AN35" s="1035"/>
      <c r="AO35" s="1035"/>
      <c r="AP35" s="759"/>
      <c r="AR35" s="759"/>
      <c r="AS35" s="759"/>
      <c r="BA35" s="1035"/>
      <c r="BB35" s="1035"/>
      <c r="BC35" s="759"/>
      <c r="BE35" s="759"/>
      <c r="BF35" s="759"/>
      <c r="BN35" s="1035"/>
      <c r="BO35" s="1035"/>
      <c r="BP35" s="759"/>
      <c r="BR35" s="759"/>
      <c r="BS35" s="759"/>
      <c r="CA35" s="1035"/>
      <c r="CB35" s="1035"/>
      <c r="CC35" s="759"/>
      <c r="CE35" s="759"/>
      <c r="CF35" s="759"/>
      <c r="CN35" s="1035"/>
      <c r="CO35" s="1035"/>
      <c r="CP35" s="759"/>
      <c r="CR35" s="759"/>
      <c r="CS35" s="759"/>
      <c r="DA35" s="1035"/>
      <c r="DB35" s="1035"/>
      <c r="DC35" s="759"/>
      <c r="DE35" s="759"/>
      <c r="DF35" s="759"/>
      <c r="DN35" s="1035"/>
      <c r="DO35" s="1035"/>
      <c r="DP35" s="759"/>
      <c r="DR35" s="759"/>
      <c r="DS35" s="759"/>
      <c r="EA35" s="1035"/>
      <c r="EB35" s="1035"/>
      <c r="EC35" s="759"/>
      <c r="EE35" s="759"/>
      <c r="EF35" s="759"/>
      <c r="EN35" s="1035"/>
      <c r="EO35" s="1035"/>
      <c r="EP35" s="759"/>
      <c r="ER35" s="759"/>
      <c r="ES35" s="759"/>
      <c r="FA35" s="1035"/>
      <c r="FB35" s="1035"/>
      <c r="FC35" s="759"/>
      <c r="FE35" s="759"/>
      <c r="FF35" s="759"/>
      <c r="FN35" s="1035"/>
      <c r="FO35" s="1035"/>
      <c r="FP35" s="759"/>
      <c r="FR35" s="759"/>
      <c r="FS35" s="759"/>
      <c r="GA35" s="1035"/>
      <c r="GB35" s="1035"/>
      <c r="GC35" s="759"/>
      <c r="GE35" s="759"/>
      <c r="GF35" s="759"/>
      <c r="GN35" s="1035"/>
      <c r="GO35" s="1035"/>
      <c r="GP35" s="759"/>
      <c r="GR35" s="759"/>
      <c r="GS35" s="759"/>
      <c r="HA35" s="1035"/>
      <c r="HB35" s="1035"/>
      <c r="HC35" s="759"/>
      <c r="HE35" s="759"/>
      <c r="HF35" s="759"/>
      <c r="HN35" s="1035"/>
      <c r="HO35" s="1035"/>
      <c r="HP35" s="759"/>
      <c r="HR35" s="759"/>
      <c r="HS35" s="759"/>
      <c r="IA35" s="1035"/>
      <c r="IB35" s="1035"/>
      <c r="IC35" s="759"/>
      <c r="IE35" s="759"/>
      <c r="IF35" s="759"/>
      <c r="IN35" s="1035"/>
      <c r="IO35" s="1035"/>
      <c r="IP35" s="759"/>
      <c r="IR35" s="759"/>
      <c r="IS35" s="759"/>
      <c r="JA35" s="1035"/>
      <c r="JB35" s="1035"/>
      <c r="JC35" s="759"/>
      <c r="JE35" s="759"/>
      <c r="JF35" s="759"/>
      <c r="JN35" s="1035"/>
      <c r="JO35" s="1035"/>
      <c r="JP35" s="759"/>
      <c r="JR35" s="759"/>
      <c r="JS35" s="759"/>
      <c r="KA35" s="1035"/>
      <c r="KB35" s="1035"/>
      <c r="KC35" s="759"/>
      <c r="KE35" s="759"/>
      <c r="KF35" s="759"/>
      <c r="KN35" s="1035"/>
      <c r="KO35" s="1035"/>
      <c r="KP35" s="759"/>
      <c r="KR35" s="759"/>
      <c r="KS35" s="759"/>
      <c r="LA35" s="1035"/>
      <c r="LB35" s="1035"/>
      <c r="LC35" s="759"/>
      <c r="LE35" s="759"/>
      <c r="LF35" s="759"/>
      <c r="LN35" s="1035"/>
      <c r="LO35" s="1035"/>
      <c r="LP35" s="759"/>
      <c r="LR35" s="759"/>
      <c r="LS35" s="759"/>
      <c r="MA35" s="1035"/>
      <c r="MB35" s="1035"/>
      <c r="MC35" s="759"/>
      <c r="ME35" s="759"/>
      <c r="MF35" s="759"/>
      <c r="MN35" s="1035"/>
      <c r="MO35" s="1035"/>
      <c r="MP35" s="759"/>
      <c r="MR35" s="759"/>
      <c r="MS35" s="759"/>
      <c r="NA35" s="1035"/>
      <c r="NB35" s="1035"/>
      <c r="NC35" s="759"/>
      <c r="NE35" s="759"/>
      <c r="NF35" s="759"/>
      <c r="NN35" s="1035"/>
      <c r="NO35" s="1035"/>
      <c r="NP35" s="759"/>
      <c r="NR35" s="759"/>
      <c r="NS35" s="759"/>
      <c r="OA35" s="1035"/>
      <c r="OB35" s="1035"/>
      <c r="OC35" s="759"/>
      <c r="OE35" s="759"/>
      <c r="OF35" s="759"/>
      <c r="ON35" s="1035"/>
      <c r="OO35" s="1035"/>
      <c r="OP35" s="759"/>
      <c r="OR35" s="759"/>
      <c r="OS35" s="759"/>
      <c r="PA35" s="1035"/>
      <c r="PB35" s="1035"/>
      <c r="PC35" s="759"/>
      <c r="PE35" s="759"/>
      <c r="PF35" s="759"/>
      <c r="PN35" s="1035"/>
      <c r="PO35" s="1035"/>
      <c r="PP35" s="759"/>
      <c r="PR35" s="759"/>
      <c r="PS35" s="759"/>
      <c r="QA35" s="1035"/>
      <c r="QB35" s="1035"/>
      <c r="QC35" s="759"/>
      <c r="QE35" s="759"/>
      <c r="QF35" s="759"/>
      <c r="QN35" s="1035"/>
      <c r="QO35" s="1035"/>
      <c r="QP35" s="759"/>
      <c r="QR35" s="759"/>
      <c r="QS35" s="759"/>
      <c r="RA35" s="1035"/>
      <c r="RB35" s="1035"/>
      <c r="RC35" s="759"/>
      <c r="RE35" s="759"/>
      <c r="RF35" s="759"/>
      <c r="RN35" s="1035"/>
      <c r="RO35" s="1035"/>
      <c r="RP35" s="759"/>
      <c r="RR35" s="759"/>
      <c r="RS35" s="759"/>
      <c r="SA35" s="1035"/>
      <c r="SB35" s="1035"/>
      <c r="SC35" s="759"/>
      <c r="SE35" s="759"/>
      <c r="SF35" s="759"/>
      <c r="SN35" s="1035"/>
      <c r="SO35" s="1035"/>
      <c r="SP35" s="759"/>
      <c r="SR35" s="759"/>
      <c r="SS35" s="759"/>
      <c r="TA35" s="1035"/>
      <c r="TB35" s="1035"/>
      <c r="TC35" s="759"/>
      <c r="TE35" s="759"/>
      <c r="TF35" s="759"/>
      <c r="TN35" s="1035"/>
      <c r="TO35" s="1035"/>
      <c r="TP35" s="759"/>
      <c r="TR35" s="759"/>
      <c r="TS35" s="759"/>
      <c r="UA35" s="1035"/>
      <c r="UB35" s="1035"/>
      <c r="UC35" s="759"/>
      <c r="UE35" s="759"/>
      <c r="UF35" s="759"/>
      <c r="UN35" s="1035"/>
      <c r="UO35" s="1035"/>
      <c r="UP35" s="759"/>
      <c r="UR35" s="759"/>
      <c r="US35" s="759"/>
      <c r="VA35" s="1035"/>
      <c r="VB35" s="1035"/>
      <c r="VC35" s="759"/>
      <c r="VE35" s="759"/>
      <c r="VF35" s="759"/>
      <c r="VN35" s="1035"/>
      <c r="VO35" s="1035"/>
      <c r="VP35" s="759"/>
      <c r="VR35" s="759"/>
      <c r="VS35" s="759"/>
      <c r="WA35" s="1035"/>
      <c r="WB35" s="1035"/>
      <c r="WC35" s="759"/>
      <c r="WE35" s="759"/>
      <c r="WF35" s="759"/>
      <c r="WN35" s="1035"/>
      <c r="WO35" s="1035"/>
      <c r="WP35" s="759"/>
      <c r="WR35" s="759"/>
      <c r="WS35" s="759"/>
      <c r="XA35" s="1035"/>
      <c r="XB35" s="1035"/>
      <c r="XC35" s="759"/>
      <c r="XE35" s="759"/>
      <c r="XF35" s="759"/>
      <c r="XN35" s="1035"/>
      <c r="XO35" s="1035"/>
      <c r="XP35" s="759"/>
      <c r="XR35" s="759"/>
      <c r="XS35" s="759"/>
      <c r="YA35" s="1035"/>
      <c r="YB35" s="1035"/>
      <c r="YC35" s="759"/>
      <c r="YE35" s="759"/>
      <c r="YF35" s="759"/>
      <c r="YN35" s="1035"/>
      <c r="YO35" s="1035"/>
      <c r="YP35" s="759"/>
      <c r="YR35" s="759"/>
      <c r="YS35" s="759"/>
      <c r="ZA35" s="1035"/>
      <c r="ZB35" s="1035"/>
      <c r="ZC35" s="759"/>
      <c r="ZE35" s="759"/>
      <c r="ZF35" s="759"/>
      <c r="ZN35" s="1035"/>
      <c r="ZO35" s="1035"/>
      <c r="ZP35" s="759"/>
      <c r="ZR35" s="759"/>
      <c r="ZS35" s="759"/>
      <c r="AAA35" s="1035"/>
      <c r="AAB35" s="1035"/>
      <c r="AAC35" s="759"/>
      <c r="AAE35" s="759"/>
      <c r="AAF35" s="759"/>
      <c r="AAN35" s="1035"/>
      <c r="AAO35" s="1035"/>
      <c r="AAP35" s="759"/>
      <c r="AAR35" s="759"/>
      <c r="AAS35" s="759"/>
      <c r="ABA35" s="1035"/>
      <c r="ABB35" s="1035"/>
      <c r="ABC35" s="759"/>
      <c r="ABE35" s="759"/>
      <c r="ABF35" s="759"/>
      <c r="ABN35" s="1035"/>
      <c r="ABO35" s="1035"/>
      <c r="ABP35" s="759"/>
      <c r="ABR35" s="759"/>
      <c r="ABS35" s="759"/>
      <c r="ACA35" s="1035"/>
      <c r="ACB35" s="1035"/>
      <c r="ACC35" s="759"/>
      <c r="ACE35" s="759"/>
      <c r="ACF35" s="759"/>
      <c r="ACN35" s="1035"/>
      <c r="ACO35" s="1035"/>
      <c r="ACP35" s="759"/>
      <c r="ACR35" s="759"/>
      <c r="ACS35" s="759"/>
      <c r="ADA35" s="1035"/>
      <c r="ADB35" s="1035"/>
      <c r="ADC35" s="759"/>
      <c r="ADE35" s="759"/>
      <c r="ADF35" s="759"/>
      <c r="ADN35" s="1035"/>
      <c r="ADO35" s="1035"/>
      <c r="ADP35" s="759"/>
      <c r="ADR35" s="759"/>
      <c r="ADS35" s="759"/>
      <c r="AEA35" s="1035"/>
      <c r="AEB35" s="1035"/>
      <c r="AEC35" s="759"/>
      <c r="AEE35" s="759"/>
      <c r="AEF35" s="759"/>
      <c r="AEN35" s="1035"/>
      <c r="AEO35" s="1035"/>
      <c r="AEP35" s="759"/>
      <c r="AER35" s="759"/>
      <c r="AES35" s="759"/>
      <c r="AFA35" s="1035"/>
      <c r="AFB35" s="1035"/>
      <c r="AFC35" s="759"/>
      <c r="AFE35" s="759"/>
      <c r="AFF35" s="759"/>
      <c r="AFN35" s="1035"/>
      <c r="AFO35" s="1035"/>
      <c r="AFP35" s="759"/>
      <c r="AFR35" s="759"/>
      <c r="AFS35" s="759"/>
      <c r="AGA35" s="1035"/>
      <c r="AGB35" s="1035"/>
      <c r="AGC35" s="759"/>
      <c r="AGE35" s="759"/>
      <c r="AGF35" s="759"/>
      <c r="AGN35" s="1035"/>
      <c r="AGO35" s="1035"/>
      <c r="AGP35" s="759"/>
      <c r="AGR35" s="759"/>
      <c r="AGS35" s="759"/>
      <c r="AHA35" s="1035"/>
      <c r="AHB35" s="1035"/>
      <c r="AHC35" s="759"/>
      <c r="AHE35" s="759"/>
      <c r="AHF35" s="759"/>
      <c r="AHN35" s="1035"/>
      <c r="AHO35" s="1035"/>
      <c r="AHP35" s="759"/>
      <c r="AHR35" s="759"/>
      <c r="AHS35" s="759"/>
      <c r="AIA35" s="1035"/>
      <c r="AIB35" s="1035"/>
      <c r="AIC35" s="759"/>
      <c r="AIE35" s="759"/>
      <c r="AIF35" s="759"/>
      <c r="AIN35" s="1035"/>
      <c r="AIO35" s="1035"/>
      <c r="AIP35" s="759"/>
      <c r="AIR35" s="759"/>
      <c r="AIS35" s="759"/>
      <c r="AJA35" s="1035"/>
      <c r="AJB35" s="1035"/>
      <c r="AJC35" s="759"/>
      <c r="AJE35" s="759"/>
      <c r="AJF35" s="759"/>
      <c r="AJN35" s="1035"/>
      <c r="AJO35" s="1035"/>
      <c r="AJP35" s="759"/>
      <c r="AJR35" s="759"/>
      <c r="AJS35" s="759"/>
      <c r="AKA35" s="1035"/>
      <c r="AKB35" s="1035"/>
      <c r="AKC35" s="759"/>
      <c r="AKE35" s="759"/>
      <c r="AKF35" s="759"/>
      <c r="AKN35" s="1035"/>
      <c r="AKO35" s="1035"/>
      <c r="AKP35" s="759"/>
      <c r="AKR35" s="759"/>
      <c r="AKS35" s="759"/>
      <c r="ALA35" s="1035"/>
      <c r="ALB35" s="1035"/>
      <c r="ALC35" s="759"/>
      <c r="ALE35" s="759"/>
      <c r="ALF35" s="759"/>
      <c r="ALN35" s="1035"/>
      <c r="ALO35" s="1035"/>
      <c r="ALP35" s="759"/>
      <c r="ALR35" s="759"/>
      <c r="ALS35" s="759"/>
      <c r="AMA35" s="1035"/>
      <c r="AMB35" s="1035"/>
      <c r="AMC35" s="759"/>
      <c r="AME35" s="759"/>
      <c r="AMF35" s="759"/>
      <c r="AMN35" s="1035"/>
      <c r="AMO35" s="1035"/>
      <c r="AMP35" s="759"/>
      <c r="AMR35" s="759"/>
      <c r="AMS35" s="759"/>
      <c r="ANA35" s="1035"/>
      <c r="ANB35" s="1035"/>
      <c r="ANC35" s="759"/>
      <c r="ANE35" s="759"/>
      <c r="ANF35" s="759"/>
      <c r="ANN35" s="1035"/>
      <c r="ANO35" s="1035"/>
      <c r="ANP35" s="759"/>
      <c r="ANR35" s="759"/>
      <c r="ANS35" s="759"/>
      <c r="AOA35" s="1035"/>
      <c r="AOB35" s="1035"/>
      <c r="AOC35" s="759"/>
      <c r="AOE35" s="759"/>
      <c r="AOF35" s="759"/>
      <c r="AON35" s="1035"/>
      <c r="AOO35" s="1035"/>
      <c r="AOP35" s="759"/>
      <c r="AOR35" s="759"/>
      <c r="AOS35" s="759"/>
      <c r="APA35" s="1035"/>
      <c r="APB35" s="1035"/>
      <c r="APC35" s="759"/>
      <c r="APE35" s="759"/>
      <c r="APF35" s="759"/>
      <c r="APN35" s="1035"/>
      <c r="APO35" s="1035"/>
      <c r="APP35" s="759"/>
      <c r="APR35" s="759"/>
      <c r="APS35" s="759"/>
      <c r="AQA35" s="1035"/>
      <c r="AQB35" s="1035"/>
      <c r="AQC35" s="759"/>
      <c r="AQE35" s="759"/>
      <c r="AQF35" s="759"/>
      <c r="AQN35" s="1035"/>
      <c r="AQO35" s="1035"/>
      <c r="AQP35" s="759"/>
      <c r="AQR35" s="759"/>
      <c r="AQS35" s="759"/>
      <c r="ARA35" s="1035"/>
      <c r="ARB35" s="1035"/>
      <c r="ARC35" s="759"/>
      <c r="ARE35" s="759"/>
      <c r="ARF35" s="759"/>
      <c r="ARN35" s="1035"/>
      <c r="ARO35" s="1035"/>
      <c r="ARP35" s="759"/>
      <c r="ARR35" s="759"/>
      <c r="ARS35" s="759"/>
      <c r="ASA35" s="1035"/>
      <c r="ASB35" s="1035"/>
      <c r="ASC35" s="759"/>
      <c r="ASE35" s="759"/>
      <c r="ASF35" s="759"/>
      <c r="ASN35" s="1035"/>
      <c r="ASO35" s="1035"/>
      <c r="ASP35" s="759"/>
      <c r="ASR35" s="759"/>
      <c r="ASS35" s="759"/>
      <c r="ATA35" s="1035"/>
      <c r="ATB35" s="1035"/>
      <c r="ATC35" s="759"/>
      <c r="ATE35" s="759"/>
      <c r="ATF35" s="759"/>
      <c r="ATN35" s="1035"/>
      <c r="ATO35" s="1035"/>
      <c r="ATP35" s="759"/>
      <c r="ATR35" s="759"/>
      <c r="ATS35" s="759"/>
      <c r="AUA35" s="1035"/>
      <c r="AUB35" s="1035"/>
      <c r="AUC35" s="759"/>
      <c r="AUE35" s="759"/>
      <c r="AUF35" s="759"/>
      <c r="AUN35" s="1035"/>
      <c r="AUO35" s="1035"/>
      <c r="AUP35" s="759"/>
      <c r="AUR35" s="759"/>
      <c r="AUS35" s="759"/>
      <c r="AVA35" s="1035"/>
      <c r="AVB35" s="1035"/>
      <c r="AVC35" s="759"/>
      <c r="AVE35" s="759"/>
      <c r="AVF35" s="759"/>
      <c r="AVN35" s="1035"/>
      <c r="AVO35" s="1035"/>
      <c r="AVP35" s="759"/>
      <c r="AVR35" s="759"/>
      <c r="AVS35" s="759"/>
      <c r="AWA35" s="1035"/>
      <c r="AWB35" s="1035"/>
      <c r="AWC35" s="759"/>
      <c r="AWE35" s="759"/>
      <c r="AWF35" s="759"/>
      <c r="AWN35" s="1035"/>
      <c r="AWO35" s="1035"/>
      <c r="AWP35" s="759"/>
      <c r="AWR35" s="759"/>
      <c r="AWS35" s="759"/>
      <c r="AXA35" s="1035"/>
      <c r="AXB35" s="1035"/>
      <c r="AXC35" s="759"/>
      <c r="AXE35" s="759"/>
      <c r="AXF35" s="759"/>
      <c r="AXN35" s="1035"/>
      <c r="AXO35" s="1035"/>
      <c r="AXP35" s="759"/>
      <c r="AXR35" s="759"/>
      <c r="AXS35" s="759"/>
      <c r="AYA35" s="1035"/>
      <c r="AYB35" s="1035"/>
      <c r="AYC35" s="759"/>
      <c r="AYE35" s="759"/>
      <c r="AYF35" s="759"/>
      <c r="AYN35" s="1035"/>
      <c r="AYO35" s="1035"/>
      <c r="AYP35" s="759"/>
      <c r="AYR35" s="759"/>
      <c r="AYS35" s="759"/>
      <c r="AZA35" s="1035"/>
      <c r="AZB35" s="1035"/>
      <c r="AZC35" s="759"/>
      <c r="AZE35" s="759"/>
      <c r="AZF35" s="759"/>
      <c r="AZN35" s="1035"/>
      <c r="AZO35" s="1035"/>
      <c r="AZP35" s="759"/>
      <c r="AZR35" s="759"/>
      <c r="AZS35" s="759"/>
      <c r="BAA35" s="1035"/>
      <c r="BAB35" s="1035"/>
      <c r="BAC35" s="759"/>
      <c r="BAE35" s="759"/>
      <c r="BAF35" s="759"/>
      <c r="BAN35" s="1035"/>
      <c r="BAO35" s="1035"/>
      <c r="BAP35" s="759"/>
      <c r="BAR35" s="759"/>
      <c r="BAS35" s="759"/>
      <c r="BBA35" s="1035"/>
      <c r="BBB35" s="1035"/>
      <c r="BBC35" s="759"/>
      <c r="BBE35" s="759"/>
      <c r="BBF35" s="759"/>
      <c r="BBN35" s="1035"/>
      <c r="BBO35" s="1035"/>
      <c r="BBP35" s="759"/>
      <c r="BBR35" s="759"/>
      <c r="BBS35" s="759"/>
      <c r="BCA35" s="1035"/>
      <c r="BCB35" s="1035"/>
      <c r="BCC35" s="759"/>
      <c r="BCE35" s="759"/>
      <c r="BCF35" s="759"/>
      <c r="BCN35" s="1035"/>
      <c r="BCO35" s="1035"/>
      <c r="BCP35" s="759"/>
      <c r="BCR35" s="759"/>
      <c r="BCS35" s="759"/>
      <c r="BDA35" s="1035"/>
      <c r="BDB35" s="1035"/>
      <c r="BDC35" s="759"/>
      <c r="BDE35" s="759"/>
      <c r="BDF35" s="759"/>
      <c r="BDN35" s="1035"/>
      <c r="BDO35" s="1035"/>
      <c r="BDP35" s="759"/>
      <c r="BDR35" s="759"/>
      <c r="BDS35" s="759"/>
      <c r="BEA35" s="1035"/>
      <c r="BEB35" s="1035"/>
      <c r="BEC35" s="759"/>
      <c r="BEE35" s="759"/>
      <c r="BEF35" s="759"/>
      <c r="BEN35" s="1035"/>
      <c r="BEO35" s="1035"/>
      <c r="BEP35" s="759"/>
      <c r="BER35" s="759"/>
      <c r="BES35" s="759"/>
      <c r="BFA35" s="1035"/>
      <c r="BFB35" s="1035"/>
      <c r="BFC35" s="759"/>
      <c r="BFE35" s="759"/>
      <c r="BFF35" s="759"/>
      <c r="BFN35" s="1035"/>
      <c r="BFO35" s="1035"/>
      <c r="BFP35" s="759"/>
      <c r="BFR35" s="759"/>
      <c r="BFS35" s="759"/>
      <c r="BGA35" s="1035"/>
      <c r="BGB35" s="1035"/>
      <c r="BGC35" s="759"/>
      <c r="BGE35" s="759"/>
      <c r="BGF35" s="759"/>
      <c r="BGN35" s="1035"/>
      <c r="BGO35" s="1035"/>
      <c r="BGP35" s="759"/>
      <c r="BGR35" s="759"/>
      <c r="BGS35" s="759"/>
      <c r="BHA35" s="1035"/>
      <c r="BHB35" s="1035"/>
      <c r="BHC35" s="759"/>
      <c r="BHE35" s="759"/>
      <c r="BHF35" s="759"/>
      <c r="BHN35" s="1035"/>
      <c r="BHO35" s="1035"/>
      <c r="BHP35" s="759"/>
      <c r="BHR35" s="759"/>
      <c r="BHS35" s="759"/>
      <c r="BIA35" s="1035"/>
      <c r="BIB35" s="1035"/>
      <c r="BIC35" s="759"/>
      <c r="BIE35" s="759"/>
      <c r="BIF35" s="759"/>
      <c r="BIN35" s="1035"/>
      <c r="BIO35" s="1035"/>
      <c r="BIP35" s="759"/>
      <c r="BIR35" s="759"/>
      <c r="BIS35" s="759"/>
      <c r="BJA35" s="1035"/>
      <c r="BJB35" s="1035"/>
      <c r="BJC35" s="759"/>
      <c r="BJE35" s="759"/>
      <c r="BJF35" s="759"/>
      <c r="BJN35" s="1035"/>
      <c r="BJO35" s="1035"/>
      <c r="BJP35" s="759"/>
      <c r="BJR35" s="759"/>
      <c r="BJS35" s="759"/>
      <c r="BKA35" s="1035"/>
      <c r="BKB35" s="1035"/>
      <c r="BKC35" s="759"/>
      <c r="BKE35" s="759"/>
      <c r="BKF35" s="759"/>
      <c r="BKN35" s="1035"/>
      <c r="BKO35" s="1035"/>
      <c r="BKP35" s="759"/>
      <c r="BKR35" s="759"/>
      <c r="BKS35" s="759"/>
      <c r="BLA35" s="1035"/>
      <c r="BLB35" s="1035"/>
      <c r="BLC35" s="759"/>
      <c r="BLE35" s="759"/>
      <c r="BLF35" s="759"/>
      <c r="BLN35" s="1035"/>
      <c r="BLO35" s="1035"/>
      <c r="BLP35" s="759"/>
      <c r="BLR35" s="759"/>
      <c r="BLS35" s="759"/>
      <c r="BMA35" s="1035"/>
      <c r="BMB35" s="1035"/>
      <c r="BMC35" s="759"/>
      <c r="BME35" s="759"/>
      <c r="BMF35" s="759"/>
      <c r="BMN35" s="1035"/>
      <c r="BMO35" s="1035"/>
      <c r="BMP35" s="759"/>
      <c r="BMR35" s="759"/>
      <c r="BMS35" s="759"/>
      <c r="BNA35" s="1035"/>
      <c r="BNB35" s="1035"/>
      <c r="BNC35" s="759"/>
      <c r="BNE35" s="759"/>
      <c r="BNF35" s="759"/>
      <c r="BNN35" s="1035"/>
      <c r="BNO35" s="1035"/>
      <c r="BNP35" s="759"/>
      <c r="BNR35" s="759"/>
      <c r="BNS35" s="759"/>
      <c r="BOA35" s="1035"/>
      <c r="BOB35" s="1035"/>
      <c r="BOC35" s="759"/>
      <c r="BOE35" s="759"/>
      <c r="BOF35" s="759"/>
      <c r="BON35" s="1035"/>
      <c r="BOO35" s="1035"/>
      <c r="BOP35" s="759"/>
      <c r="BOR35" s="759"/>
      <c r="BOS35" s="759"/>
      <c r="BPA35" s="1035"/>
      <c r="BPB35" s="1035"/>
      <c r="BPC35" s="759"/>
      <c r="BPE35" s="759"/>
      <c r="BPF35" s="759"/>
      <c r="BPN35" s="1035"/>
      <c r="BPO35" s="1035"/>
      <c r="BPP35" s="759"/>
      <c r="BPR35" s="759"/>
      <c r="BPS35" s="759"/>
      <c r="BQA35" s="1035"/>
      <c r="BQB35" s="1035"/>
      <c r="BQC35" s="759"/>
      <c r="BQE35" s="759"/>
      <c r="BQF35" s="759"/>
      <c r="BQN35" s="1035"/>
      <c r="BQO35" s="1035"/>
      <c r="BQP35" s="759"/>
      <c r="BQR35" s="759"/>
      <c r="BQS35" s="759"/>
      <c r="BRA35" s="1035"/>
      <c r="BRB35" s="1035"/>
      <c r="BRC35" s="759"/>
      <c r="BRE35" s="759"/>
      <c r="BRF35" s="759"/>
      <c r="BRN35" s="1035"/>
      <c r="BRO35" s="1035"/>
      <c r="BRP35" s="759"/>
      <c r="BRR35" s="759"/>
      <c r="BRS35" s="759"/>
      <c r="BSA35" s="1035"/>
      <c r="BSB35" s="1035"/>
      <c r="BSC35" s="759"/>
      <c r="BSE35" s="759"/>
      <c r="BSF35" s="759"/>
      <c r="BSN35" s="1035"/>
      <c r="BSO35" s="1035"/>
      <c r="BSP35" s="759"/>
      <c r="BSR35" s="759"/>
      <c r="BSS35" s="759"/>
      <c r="BTA35" s="1035"/>
      <c r="BTB35" s="1035"/>
      <c r="BTC35" s="759"/>
      <c r="BTE35" s="759"/>
      <c r="BTF35" s="759"/>
      <c r="BTN35" s="1035"/>
      <c r="BTO35" s="1035"/>
      <c r="BTP35" s="759"/>
      <c r="BTR35" s="759"/>
      <c r="BTS35" s="759"/>
      <c r="BUA35" s="1035"/>
      <c r="BUB35" s="1035"/>
      <c r="BUC35" s="759"/>
      <c r="BUE35" s="759"/>
      <c r="BUF35" s="759"/>
      <c r="BUN35" s="1035"/>
      <c r="BUO35" s="1035"/>
      <c r="BUP35" s="759"/>
      <c r="BUR35" s="759"/>
      <c r="BUS35" s="759"/>
      <c r="BVA35" s="1035"/>
      <c r="BVB35" s="1035"/>
      <c r="BVC35" s="759"/>
      <c r="BVE35" s="759"/>
      <c r="BVF35" s="759"/>
      <c r="BVN35" s="1035"/>
      <c r="BVO35" s="1035"/>
      <c r="BVP35" s="759"/>
      <c r="BVR35" s="759"/>
      <c r="BVS35" s="759"/>
      <c r="BWA35" s="1035"/>
      <c r="BWB35" s="1035"/>
      <c r="BWC35" s="759"/>
      <c r="BWE35" s="759"/>
      <c r="BWF35" s="759"/>
      <c r="BWN35" s="1035"/>
      <c r="BWO35" s="1035"/>
      <c r="BWP35" s="759"/>
      <c r="BWR35" s="759"/>
      <c r="BWS35" s="759"/>
      <c r="BXA35" s="1035"/>
      <c r="BXB35" s="1035"/>
      <c r="BXC35" s="759"/>
      <c r="BXE35" s="759"/>
      <c r="BXF35" s="759"/>
      <c r="BXN35" s="1035"/>
      <c r="BXO35" s="1035"/>
      <c r="BXP35" s="759"/>
      <c r="BXR35" s="759"/>
      <c r="BXS35" s="759"/>
      <c r="BYA35" s="1035"/>
      <c r="BYB35" s="1035"/>
      <c r="BYC35" s="759"/>
      <c r="BYE35" s="759"/>
      <c r="BYF35" s="759"/>
      <c r="BYN35" s="1035"/>
      <c r="BYO35" s="1035"/>
      <c r="BYP35" s="759"/>
      <c r="BYR35" s="759"/>
      <c r="BYS35" s="759"/>
      <c r="BZA35" s="1035"/>
      <c r="BZB35" s="1035"/>
      <c r="BZC35" s="759"/>
      <c r="BZE35" s="759"/>
      <c r="BZF35" s="759"/>
      <c r="BZN35" s="1035"/>
      <c r="BZO35" s="1035"/>
      <c r="BZP35" s="759"/>
      <c r="BZR35" s="759"/>
      <c r="BZS35" s="759"/>
      <c r="CAA35" s="1035"/>
      <c r="CAB35" s="1035"/>
      <c r="CAC35" s="759"/>
      <c r="CAE35" s="759"/>
      <c r="CAF35" s="759"/>
      <c r="CAN35" s="1035"/>
      <c r="CAO35" s="1035"/>
      <c r="CAP35" s="759"/>
      <c r="CAR35" s="759"/>
      <c r="CAS35" s="759"/>
      <c r="CBA35" s="1035"/>
      <c r="CBB35" s="1035"/>
      <c r="CBC35" s="759"/>
      <c r="CBE35" s="759"/>
      <c r="CBF35" s="759"/>
      <c r="CBN35" s="1035"/>
      <c r="CBO35" s="1035"/>
      <c r="CBP35" s="759"/>
      <c r="CBR35" s="759"/>
      <c r="CBS35" s="759"/>
      <c r="CCA35" s="1035"/>
      <c r="CCB35" s="1035"/>
      <c r="CCC35" s="759"/>
      <c r="CCE35" s="759"/>
      <c r="CCF35" s="759"/>
      <c r="CCN35" s="1035"/>
      <c r="CCO35" s="1035"/>
      <c r="CCP35" s="759"/>
      <c r="CCR35" s="759"/>
      <c r="CCS35" s="759"/>
      <c r="CDA35" s="1035"/>
      <c r="CDB35" s="1035"/>
      <c r="CDC35" s="759"/>
      <c r="CDE35" s="759"/>
      <c r="CDF35" s="759"/>
      <c r="CDN35" s="1035"/>
      <c r="CDO35" s="1035"/>
      <c r="CDP35" s="759"/>
      <c r="CDR35" s="759"/>
      <c r="CDS35" s="759"/>
      <c r="CEA35" s="1035"/>
      <c r="CEB35" s="1035"/>
      <c r="CEC35" s="759"/>
      <c r="CEE35" s="759"/>
      <c r="CEF35" s="759"/>
      <c r="CEN35" s="1035"/>
      <c r="CEO35" s="1035"/>
      <c r="CEP35" s="759"/>
      <c r="CER35" s="759"/>
      <c r="CES35" s="759"/>
      <c r="CFA35" s="1035"/>
      <c r="CFB35" s="1035"/>
      <c r="CFC35" s="759"/>
      <c r="CFE35" s="759"/>
      <c r="CFF35" s="759"/>
      <c r="CFN35" s="1035"/>
      <c r="CFO35" s="1035"/>
      <c r="CFP35" s="759"/>
      <c r="CFR35" s="759"/>
      <c r="CFS35" s="759"/>
      <c r="CGA35" s="1035"/>
      <c r="CGB35" s="1035"/>
      <c r="CGC35" s="759"/>
      <c r="CGE35" s="759"/>
      <c r="CGF35" s="759"/>
      <c r="CGN35" s="1035"/>
      <c r="CGO35" s="1035"/>
      <c r="CGP35" s="759"/>
      <c r="CGR35" s="759"/>
      <c r="CGS35" s="759"/>
      <c r="CHA35" s="1035"/>
      <c r="CHB35" s="1035"/>
      <c r="CHC35" s="759"/>
      <c r="CHE35" s="759"/>
      <c r="CHF35" s="759"/>
      <c r="CHN35" s="1035"/>
      <c r="CHO35" s="1035"/>
      <c r="CHP35" s="759"/>
      <c r="CHR35" s="759"/>
      <c r="CHS35" s="759"/>
      <c r="CIA35" s="1035"/>
      <c r="CIB35" s="1035"/>
      <c r="CIC35" s="759"/>
      <c r="CIE35" s="759"/>
      <c r="CIF35" s="759"/>
      <c r="CIN35" s="1035"/>
      <c r="CIO35" s="1035"/>
      <c r="CIP35" s="759"/>
      <c r="CIR35" s="759"/>
      <c r="CIS35" s="759"/>
      <c r="CJA35" s="1035"/>
      <c r="CJB35" s="1035"/>
      <c r="CJC35" s="759"/>
      <c r="CJE35" s="759"/>
      <c r="CJF35" s="759"/>
      <c r="CJN35" s="1035"/>
      <c r="CJO35" s="1035"/>
      <c r="CJP35" s="759"/>
      <c r="CJR35" s="759"/>
      <c r="CJS35" s="759"/>
      <c r="CKA35" s="1035"/>
      <c r="CKB35" s="1035"/>
      <c r="CKC35" s="759"/>
      <c r="CKE35" s="759"/>
      <c r="CKF35" s="759"/>
      <c r="CKN35" s="1035"/>
      <c r="CKO35" s="1035"/>
      <c r="CKP35" s="759"/>
      <c r="CKR35" s="759"/>
      <c r="CKS35" s="759"/>
      <c r="CLA35" s="1035"/>
      <c r="CLB35" s="1035"/>
      <c r="CLC35" s="759"/>
      <c r="CLE35" s="759"/>
      <c r="CLF35" s="759"/>
      <c r="CLN35" s="1035"/>
      <c r="CLO35" s="1035"/>
      <c r="CLP35" s="759"/>
      <c r="CLR35" s="759"/>
      <c r="CLS35" s="759"/>
      <c r="CMA35" s="1035"/>
      <c r="CMB35" s="1035"/>
      <c r="CMC35" s="759"/>
      <c r="CME35" s="759"/>
      <c r="CMF35" s="759"/>
      <c r="CMN35" s="1035"/>
      <c r="CMO35" s="1035"/>
      <c r="CMP35" s="759"/>
      <c r="CMR35" s="759"/>
      <c r="CMS35" s="759"/>
      <c r="CNA35" s="1035"/>
      <c r="CNB35" s="1035"/>
      <c r="CNC35" s="759"/>
      <c r="CNE35" s="759"/>
      <c r="CNF35" s="759"/>
      <c r="CNN35" s="1035"/>
      <c r="CNO35" s="1035"/>
      <c r="CNP35" s="759"/>
      <c r="CNR35" s="759"/>
      <c r="CNS35" s="759"/>
      <c r="COA35" s="1035"/>
      <c r="COB35" s="1035"/>
      <c r="COC35" s="759"/>
      <c r="COE35" s="759"/>
      <c r="COF35" s="759"/>
      <c r="CON35" s="1035"/>
      <c r="COO35" s="1035"/>
      <c r="COP35" s="759"/>
      <c r="COR35" s="759"/>
      <c r="COS35" s="759"/>
      <c r="CPA35" s="1035"/>
      <c r="CPB35" s="1035"/>
      <c r="CPC35" s="759"/>
      <c r="CPE35" s="759"/>
      <c r="CPF35" s="759"/>
      <c r="CPN35" s="1035"/>
      <c r="CPO35" s="1035"/>
      <c r="CPP35" s="759"/>
      <c r="CPR35" s="759"/>
      <c r="CPS35" s="759"/>
      <c r="CQA35" s="1035"/>
      <c r="CQB35" s="1035"/>
      <c r="CQC35" s="759"/>
      <c r="CQE35" s="759"/>
      <c r="CQF35" s="759"/>
      <c r="CQN35" s="1035"/>
      <c r="CQO35" s="1035"/>
      <c r="CQP35" s="759"/>
      <c r="CQR35" s="759"/>
      <c r="CQS35" s="759"/>
      <c r="CRA35" s="1035"/>
      <c r="CRB35" s="1035"/>
      <c r="CRC35" s="759"/>
      <c r="CRE35" s="759"/>
      <c r="CRF35" s="759"/>
      <c r="CRN35" s="1035"/>
      <c r="CRO35" s="1035"/>
      <c r="CRP35" s="759"/>
      <c r="CRR35" s="759"/>
      <c r="CRS35" s="759"/>
      <c r="CSA35" s="1035"/>
      <c r="CSB35" s="1035"/>
      <c r="CSC35" s="759"/>
      <c r="CSE35" s="759"/>
      <c r="CSF35" s="759"/>
      <c r="CSN35" s="1035"/>
      <c r="CSO35" s="1035"/>
      <c r="CSP35" s="759"/>
      <c r="CSR35" s="759"/>
      <c r="CSS35" s="759"/>
      <c r="CTA35" s="1035"/>
      <c r="CTB35" s="1035"/>
      <c r="CTC35" s="759"/>
      <c r="CTE35" s="759"/>
      <c r="CTF35" s="759"/>
      <c r="CTN35" s="1035"/>
      <c r="CTO35" s="1035"/>
      <c r="CTP35" s="759"/>
      <c r="CTR35" s="759"/>
      <c r="CTS35" s="759"/>
      <c r="CUA35" s="1035"/>
      <c r="CUB35" s="1035"/>
      <c r="CUC35" s="759"/>
      <c r="CUE35" s="759"/>
      <c r="CUF35" s="759"/>
      <c r="CUN35" s="1035"/>
      <c r="CUO35" s="1035"/>
      <c r="CUP35" s="759"/>
      <c r="CUR35" s="759"/>
      <c r="CUS35" s="759"/>
      <c r="CVA35" s="1035"/>
      <c r="CVB35" s="1035"/>
      <c r="CVC35" s="759"/>
      <c r="CVE35" s="759"/>
      <c r="CVF35" s="759"/>
      <c r="CVN35" s="1035"/>
      <c r="CVO35" s="1035"/>
      <c r="CVP35" s="759"/>
      <c r="CVR35" s="759"/>
      <c r="CVS35" s="759"/>
      <c r="CWA35" s="1035"/>
      <c r="CWB35" s="1035"/>
      <c r="CWC35" s="759"/>
      <c r="CWE35" s="759"/>
      <c r="CWF35" s="759"/>
      <c r="CWN35" s="1035"/>
      <c r="CWO35" s="1035"/>
      <c r="CWP35" s="759"/>
      <c r="CWR35" s="759"/>
      <c r="CWS35" s="759"/>
      <c r="CXA35" s="1035"/>
      <c r="CXB35" s="1035"/>
      <c r="CXC35" s="759"/>
      <c r="CXE35" s="759"/>
      <c r="CXF35" s="759"/>
      <c r="CXN35" s="1035"/>
      <c r="CXO35" s="1035"/>
      <c r="CXP35" s="759"/>
      <c r="CXR35" s="759"/>
      <c r="CXS35" s="759"/>
      <c r="CYA35" s="1035"/>
      <c r="CYB35" s="1035"/>
      <c r="CYC35" s="759"/>
      <c r="CYE35" s="759"/>
      <c r="CYF35" s="759"/>
      <c r="CYN35" s="1035"/>
      <c r="CYO35" s="1035"/>
      <c r="CYP35" s="759"/>
      <c r="CYR35" s="759"/>
      <c r="CYS35" s="759"/>
      <c r="CZA35" s="1035"/>
      <c r="CZB35" s="1035"/>
      <c r="CZC35" s="759"/>
      <c r="CZE35" s="759"/>
      <c r="CZF35" s="759"/>
      <c r="CZN35" s="1035"/>
      <c r="CZO35" s="1035"/>
      <c r="CZP35" s="759"/>
      <c r="CZR35" s="759"/>
      <c r="CZS35" s="759"/>
      <c r="DAA35" s="1035"/>
      <c r="DAB35" s="1035"/>
      <c r="DAC35" s="759"/>
      <c r="DAE35" s="759"/>
      <c r="DAF35" s="759"/>
      <c r="DAN35" s="1035"/>
      <c r="DAO35" s="1035"/>
      <c r="DAP35" s="759"/>
      <c r="DAR35" s="759"/>
      <c r="DAS35" s="759"/>
      <c r="DBA35" s="1035"/>
      <c r="DBB35" s="1035"/>
      <c r="DBC35" s="759"/>
      <c r="DBE35" s="759"/>
      <c r="DBF35" s="759"/>
      <c r="DBN35" s="1035"/>
      <c r="DBO35" s="1035"/>
      <c r="DBP35" s="759"/>
      <c r="DBR35" s="759"/>
      <c r="DBS35" s="759"/>
      <c r="DCA35" s="1035"/>
      <c r="DCB35" s="1035"/>
      <c r="DCC35" s="759"/>
      <c r="DCE35" s="759"/>
      <c r="DCF35" s="759"/>
      <c r="DCN35" s="1035"/>
      <c r="DCO35" s="1035"/>
      <c r="DCP35" s="759"/>
      <c r="DCR35" s="759"/>
      <c r="DCS35" s="759"/>
      <c r="DDA35" s="1035"/>
      <c r="DDB35" s="1035"/>
      <c r="DDC35" s="759"/>
      <c r="DDE35" s="759"/>
      <c r="DDF35" s="759"/>
      <c r="DDN35" s="1035"/>
      <c r="DDO35" s="1035"/>
      <c r="DDP35" s="759"/>
      <c r="DDR35" s="759"/>
      <c r="DDS35" s="759"/>
      <c r="DEA35" s="1035"/>
      <c r="DEB35" s="1035"/>
      <c r="DEC35" s="759"/>
      <c r="DEE35" s="759"/>
      <c r="DEF35" s="759"/>
      <c r="DEN35" s="1035"/>
      <c r="DEO35" s="1035"/>
      <c r="DEP35" s="759"/>
      <c r="DER35" s="759"/>
      <c r="DES35" s="759"/>
      <c r="DFA35" s="1035"/>
      <c r="DFB35" s="1035"/>
      <c r="DFC35" s="759"/>
      <c r="DFE35" s="759"/>
      <c r="DFF35" s="759"/>
      <c r="DFN35" s="1035"/>
      <c r="DFO35" s="1035"/>
      <c r="DFP35" s="759"/>
      <c r="DFR35" s="759"/>
      <c r="DFS35" s="759"/>
      <c r="DGA35" s="1035"/>
      <c r="DGB35" s="1035"/>
      <c r="DGC35" s="759"/>
      <c r="DGE35" s="759"/>
      <c r="DGF35" s="759"/>
      <c r="DGN35" s="1035"/>
      <c r="DGO35" s="1035"/>
      <c r="DGP35" s="759"/>
      <c r="DGR35" s="759"/>
      <c r="DGS35" s="759"/>
      <c r="DHA35" s="1035"/>
      <c r="DHB35" s="1035"/>
      <c r="DHC35" s="759"/>
      <c r="DHE35" s="759"/>
      <c r="DHF35" s="759"/>
      <c r="DHN35" s="1035"/>
      <c r="DHO35" s="1035"/>
      <c r="DHP35" s="759"/>
      <c r="DHR35" s="759"/>
      <c r="DHS35" s="759"/>
      <c r="DIA35" s="1035"/>
      <c r="DIB35" s="1035"/>
      <c r="DIC35" s="759"/>
      <c r="DIE35" s="759"/>
      <c r="DIF35" s="759"/>
      <c r="DIN35" s="1035"/>
      <c r="DIO35" s="1035"/>
      <c r="DIP35" s="759"/>
      <c r="DIR35" s="759"/>
      <c r="DIS35" s="759"/>
      <c r="DJA35" s="1035"/>
      <c r="DJB35" s="1035"/>
      <c r="DJC35" s="759"/>
      <c r="DJE35" s="759"/>
      <c r="DJF35" s="759"/>
      <c r="DJN35" s="1035"/>
      <c r="DJO35" s="1035"/>
      <c r="DJP35" s="759"/>
      <c r="DJR35" s="759"/>
      <c r="DJS35" s="759"/>
      <c r="DKA35" s="1035"/>
      <c r="DKB35" s="1035"/>
      <c r="DKC35" s="759"/>
      <c r="DKE35" s="759"/>
      <c r="DKF35" s="759"/>
      <c r="DKN35" s="1035"/>
      <c r="DKO35" s="1035"/>
      <c r="DKP35" s="759"/>
      <c r="DKR35" s="759"/>
      <c r="DKS35" s="759"/>
      <c r="DLA35" s="1035"/>
      <c r="DLB35" s="1035"/>
      <c r="DLC35" s="759"/>
      <c r="DLE35" s="759"/>
      <c r="DLF35" s="759"/>
      <c r="DLN35" s="1035"/>
      <c r="DLO35" s="1035"/>
      <c r="DLP35" s="759"/>
      <c r="DLR35" s="759"/>
      <c r="DLS35" s="759"/>
      <c r="DMA35" s="1035"/>
      <c r="DMB35" s="1035"/>
      <c r="DMC35" s="759"/>
      <c r="DME35" s="759"/>
      <c r="DMF35" s="759"/>
      <c r="DMN35" s="1035"/>
      <c r="DMO35" s="1035"/>
      <c r="DMP35" s="759"/>
      <c r="DMR35" s="759"/>
      <c r="DMS35" s="759"/>
      <c r="DNA35" s="1035"/>
      <c r="DNB35" s="1035"/>
      <c r="DNC35" s="759"/>
      <c r="DNE35" s="759"/>
      <c r="DNF35" s="759"/>
      <c r="DNN35" s="1035"/>
      <c r="DNO35" s="1035"/>
      <c r="DNP35" s="759"/>
      <c r="DNR35" s="759"/>
      <c r="DNS35" s="759"/>
      <c r="DOA35" s="1035"/>
      <c r="DOB35" s="1035"/>
      <c r="DOC35" s="759"/>
      <c r="DOE35" s="759"/>
      <c r="DOF35" s="759"/>
      <c r="DON35" s="1035"/>
      <c r="DOO35" s="1035"/>
      <c r="DOP35" s="759"/>
      <c r="DOR35" s="759"/>
      <c r="DOS35" s="759"/>
      <c r="DPA35" s="1035"/>
      <c r="DPB35" s="1035"/>
      <c r="DPC35" s="759"/>
      <c r="DPE35" s="759"/>
      <c r="DPF35" s="759"/>
      <c r="DPN35" s="1035"/>
      <c r="DPO35" s="1035"/>
      <c r="DPP35" s="759"/>
      <c r="DPR35" s="759"/>
      <c r="DPS35" s="759"/>
      <c r="DQA35" s="1035"/>
      <c r="DQB35" s="1035"/>
      <c r="DQC35" s="759"/>
      <c r="DQE35" s="759"/>
      <c r="DQF35" s="759"/>
      <c r="DQN35" s="1035"/>
      <c r="DQO35" s="1035"/>
      <c r="DQP35" s="759"/>
      <c r="DQR35" s="759"/>
      <c r="DQS35" s="759"/>
      <c r="DRA35" s="1035"/>
      <c r="DRB35" s="1035"/>
      <c r="DRC35" s="759"/>
      <c r="DRE35" s="759"/>
      <c r="DRF35" s="759"/>
      <c r="DRN35" s="1035"/>
      <c r="DRO35" s="1035"/>
      <c r="DRP35" s="759"/>
      <c r="DRR35" s="759"/>
      <c r="DRS35" s="759"/>
      <c r="DSA35" s="1035"/>
      <c r="DSB35" s="1035"/>
      <c r="DSC35" s="759"/>
      <c r="DSE35" s="759"/>
      <c r="DSF35" s="759"/>
      <c r="DSN35" s="1035"/>
      <c r="DSO35" s="1035"/>
      <c r="DSP35" s="759"/>
      <c r="DSR35" s="759"/>
      <c r="DSS35" s="759"/>
      <c r="DTA35" s="1035"/>
      <c r="DTB35" s="1035"/>
      <c r="DTC35" s="759"/>
      <c r="DTE35" s="759"/>
      <c r="DTF35" s="759"/>
      <c r="DTN35" s="1035"/>
      <c r="DTO35" s="1035"/>
      <c r="DTP35" s="759"/>
      <c r="DTR35" s="759"/>
      <c r="DTS35" s="759"/>
      <c r="DUA35" s="1035"/>
      <c r="DUB35" s="1035"/>
      <c r="DUC35" s="759"/>
      <c r="DUE35" s="759"/>
      <c r="DUF35" s="759"/>
      <c r="DUN35" s="1035"/>
      <c r="DUO35" s="1035"/>
      <c r="DUP35" s="759"/>
      <c r="DUR35" s="759"/>
      <c r="DUS35" s="759"/>
      <c r="DVA35" s="1035"/>
      <c r="DVB35" s="1035"/>
      <c r="DVC35" s="759"/>
      <c r="DVE35" s="759"/>
      <c r="DVF35" s="759"/>
      <c r="DVN35" s="1035"/>
      <c r="DVO35" s="1035"/>
      <c r="DVP35" s="759"/>
      <c r="DVR35" s="759"/>
      <c r="DVS35" s="759"/>
      <c r="DWA35" s="1035"/>
      <c r="DWB35" s="1035"/>
      <c r="DWC35" s="759"/>
      <c r="DWE35" s="759"/>
      <c r="DWF35" s="759"/>
      <c r="DWN35" s="1035"/>
      <c r="DWO35" s="1035"/>
      <c r="DWP35" s="759"/>
      <c r="DWR35" s="759"/>
      <c r="DWS35" s="759"/>
      <c r="DXA35" s="1035"/>
      <c r="DXB35" s="1035"/>
      <c r="DXC35" s="759"/>
      <c r="DXE35" s="759"/>
      <c r="DXF35" s="759"/>
      <c r="DXN35" s="1035"/>
      <c r="DXO35" s="1035"/>
      <c r="DXP35" s="759"/>
      <c r="DXR35" s="759"/>
      <c r="DXS35" s="759"/>
      <c r="DYA35" s="1035"/>
      <c r="DYB35" s="1035"/>
      <c r="DYC35" s="759"/>
      <c r="DYE35" s="759"/>
      <c r="DYF35" s="759"/>
      <c r="DYN35" s="1035"/>
      <c r="DYO35" s="1035"/>
      <c r="DYP35" s="759"/>
      <c r="DYR35" s="759"/>
      <c r="DYS35" s="759"/>
      <c r="DZA35" s="1035"/>
      <c r="DZB35" s="1035"/>
      <c r="DZC35" s="759"/>
      <c r="DZE35" s="759"/>
      <c r="DZF35" s="759"/>
      <c r="DZN35" s="1035"/>
      <c r="DZO35" s="1035"/>
      <c r="DZP35" s="759"/>
      <c r="DZR35" s="759"/>
      <c r="DZS35" s="759"/>
      <c r="EAA35" s="1035"/>
      <c r="EAB35" s="1035"/>
      <c r="EAC35" s="759"/>
      <c r="EAE35" s="759"/>
      <c r="EAF35" s="759"/>
      <c r="EAN35" s="1035"/>
      <c r="EAO35" s="1035"/>
      <c r="EAP35" s="759"/>
      <c r="EAR35" s="759"/>
      <c r="EAS35" s="759"/>
      <c r="EBA35" s="1035"/>
      <c r="EBB35" s="1035"/>
      <c r="EBC35" s="759"/>
      <c r="EBE35" s="759"/>
      <c r="EBF35" s="759"/>
      <c r="EBN35" s="1035"/>
      <c r="EBO35" s="1035"/>
      <c r="EBP35" s="759"/>
      <c r="EBR35" s="759"/>
      <c r="EBS35" s="759"/>
      <c r="ECA35" s="1035"/>
      <c r="ECB35" s="1035"/>
      <c r="ECC35" s="759"/>
      <c r="ECE35" s="759"/>
      <c r="ECF35" s="759"/>
      <c r="ECN35" s="1035"/>
      <c r="ECO35" s="1035"/>
      <c r="ECP35" s="759"/>
      <c r="ECR35" s="759"/>
      <c r="ECS35" s="759"/>
      <c r="EDA35" s="1035"/>
      <c r="EDB35" s="1035"/>
      <c r="EDC35" s="759"/>
      <c r="EDE35" s="759"/>
      <c r="EDF35" s="759"/>
      <c r="EDN35" s="1035"/>
      <c r="EDO35" s="1035"/>
      <c r="EDP35" s="759"/>
      <c r="EDR35" s="759"/>
      <c r="EDS35" s="759"/>
      <c r="EEA35" s="1035"/>
      <c r="EEB35" s="1035"/>
      <c r="EEC35" s="759"/>
      <c r="EEE35" s="759"/>
      <c r="EEF35" s="759"/>
      <c r="EEN35" s="1035"/>
      <c r="EEO35" s="1035"/>
      <c r="EEP35" s="759"/>
      <c r="EER35" s="759"/>
      <c r="EES35" s="759"/>
      <c r="EFA35" s="1035"/>
      <c r="EFB35" s="1035"/>
      <c r="EFC35" s="759"/>
      <c r="EFE35" s="759"/>
      <c r="EFF35" s="759"/>
      <c r="EFN35" s="1035"/>
      <c r="EFO35" s="1035"/>
      <c r="EFP35" s="759"/>
      <c r="EFR35" s="759"/>
      <c r="EFS35" s="759"/>
      <c r="EGA35" s="1035"/>
      <c r="EGB35" s="1035"/>
      <c r="EGC35" s="759"/>
      <c r="EGE35" s="759"/>
      <c r="EGF35" s="759"/>
      <c r="EGN35" s="1035"/>
      <c r="EGO35" s="1035"/>
      <c r="EGP35" s="759"/>
      <c r="EGR35" s="759"/>
      <c r="EGS35" s="759"/>
      <c r="EHA35" s="1035"/>
      <c r="EHB35" s="1035"/>
      <c r="EHC35" s="759"/>
      <c r="EHE35" s="759"/>
      <c r="EHF35" s="759"/>
      <c r="EHN35" s="1035"/>
      <c r="EHO35" s="1035"/>
      <c r="EHP35" s="759"/>
      <c r="EHR35" s="759"/>
      <c r="EHS35" s="759"/>
      <c r="EIA35" s="1035"/>
      <c r="EIB35" s="1035"/>
      <c r="EIC35" s="759"/>
      <c r="EIE35" s="759"/>
      <c r="EIF35" s="759"/>
      <c r="EIN35" s="1035"/>
      <c r="EIO35" s="1035"/>
      <c r="EIP35" s="759"/>
      <c r="EIR35" s="759"/>
      <c r="EIS35" s="759"/>
      <c r="EJA35" s="1035"/>
      <c r="EJB35" s="1035"/>
      <c r="EJC35" s="759"/>
      <c r="EJE35" s="759"/>
      <c r="EJF35" s="759"/>
      <c r="EJN35" s="1035"/>
      <c r="EJO35" s="1035"/>
      <c r="EJP35" s="759"/>
      <c r="EJR35" s="759"/>
      <c r="EJS35" s="759"/>
      <c r="EKA35" s="1035"/>
      <c r="EKB35" s="1035"/>
      <c r="EKC35" s="759"/>
      <c r="EKE35" s="759"/>
      <c r="EKF35" s="759"/>
      <c r="EKN35" s="1035"/>
      <c r="EKO35" s="1035"/>
      <c r="EKP35" s="759"/>
      <c r="EKR35" s="759"/>
      <c r="EKS35" s="759"/>
      <c r="ELA35" s="1035"/>
      <c r="ELB35" s="1035"/>
      <c r="ELC35" s="759"/>
      <c r="ELE35" s="759"/>
      <c r="ELF35" s="759"/>
      <c r="ELN35" s="1035"/>
      <c r="ELO35" s="1035"/>
      <c r="ELP35" s="759"/>
      <c r="ELR35" s="759"/>
      <c r="ELS35" s="759"/>
      <c r="EMA35" s="1035"/>
      <c r="EMB35" s="1035"/>
      <c r="EMC35" s="759"/>
      <c r="EME35" s="759"/>
      <c r="EMF35" s="759"/>
      <c r="EMN35" s="1035"/>
      <c r="EMO35" s="1035"/>
      <c r="EMP35" s="759"/>
      <c r="EMR35" s="759"/>
      <c r="EMS35" s="759"/>
      <c r="ENA35" s="1035"/>
      <c r="ENB35" s="1035"/>
      <c r="ENC35" s="759"/>
      <c r="ENE35" s="759"/>
      <c r="ENF35" s="759"/>
      <c r="ENN35" s="1035"/>
      <c r="ENO35" s="1035"/>
      <c r="ENP35" s="759"/>
      <c r="ENR35" s="759"/>
      <c r="ENS35" s="759"/>
      <c r="EOA35" s="1035"/>
      <c r="EOB35" s="1035"/>
      <c r="EOC35" s="759"/>
      <c r="EOE35" s="759"/>
      <c r="EOF35" s="759"/>
      <c r="EON35" s="1035"/>
      <c r="EOO35" s="1035"/>
      <c r="EOP35" s="759"/>
      <c r="EOR35" s="759"/>
      <c r="EOS35" s="759"/>
      <c r="EPA35" s="1035"/>
      <c r="EPB35" s="1035"/>
      <c r="EPC35" s="759"/>
      <c r="EPE35" s="759"/>
      <c r="EPF35" s="759"/>
      <c r="EPN35" s="1035"/>
      <c r="EPO35" s="1035"/>
      <c r="EPP35" s="759"/>
      <c r="EPR35" s="759"/>
      <c r="EPS35" s="759"/>
      <c r="EQA35" s="1035"/>
      <c r="EQB35" s="1035"/>
      <c r="EQC35" s="759"/>
      <c r="EQE35" s="759"/>
      <c r="EQF35" s="759"/>
      <c r="EQN35" s="1035"/>
      <c r="EQO35" s="1035"/>
      <c r="EQP35" s="759"/>
      <c r="EQR35" s="759"/>
      <c r="EQS35" s="759"/>
      <c r="ERA35" s="1035"/>
      <c r="ERB35" s="1035"/>
      <c r="ERC35" s="759"/>
      <c r="ERE35" s="759"/>
      <c r="ERF35" s="759"/>
      <c r="ERN35" s="1035"/>
      <c r="ERO35" s="1035"/>
      <c r="ERP35" s="759"/>
      <c r="ERR35" s="759"/>
      <c r="ERS35" s="759"/>
      <c r="ESA35" s="1035"/>
      <c r="ESB35" s="1035"/>
      <c r="ESC35" s="759"/>
      <c r="ESE35" s="759"/>
      <c r="ESF35" s="759"/>
      <c r="ESN35" s="1035"/>
      <c r="ESO35" s="1035"/>
      <c r="ESP35" s="759"/>
      <c r="ESR35" s="759"/>
      <c r="ESS35" s="759"/>
      <c r="ETA35" s="1035"/>
      <c r="ETB35" s="1035"/>
      <c r="ETC35" s="759"/>
      <c r="ETE35" s="759"/>
      <c r="ETF35" s="759"/>
      <c r="ETN35" s="1035"/>
      <c r="ETO35" s="1035"/>
      <c r="ETP35" s="759"/>
      <c r="ETR35" s="759"/>
      <c r="ETS35" s="759"/>
      <c r="EUA35" s="1035"/>
      <c r="EUB35" s="1035"/>
      <c r="EUC35" s="759"/>
      <c r="EUE35" s="759"/>
      <c r="EUF35" s="759"/>
      <c r="EUN35" s="1035"/>
      <c r="EUO35" s="1035"/>
      <c r="EUP35" s="759"/>
      <c r="EUR35" s="759"/>
      <c r="EUS35" s="759"/>
      <c r="EVA35" s="1035"/>
      <c r="EVB35" s="1035"/>
      <c r="EVC35" s="759"/>
      <c r="EVE35" s="759"/>
      <c r="EVF35" s="759"/>
      <c r="EVN35" s="1035"/>
      <c r="EVO35" s="1035"/>
      <c r="EVP35" s="759"/>
      <c r="EVR35" s="759"/>
      <c r="EVS35" s="759"/>
      <c r="EWA35" s="1035"/>
      <c r="EWB35" s="1035"/>
      <c r="EWC35" s="759"/>
      <c r="EWE35" s="759"/>
      <c r="EWF35" s="759"/>
      <c r="EWN35" s="1035"/>
      <c r="EWO35" s="1035"/>
      <c r="EWP35" s="759"/>
      <c r="EWR35" s="759"/>
      <c r="EWS35" s="759"/>
      <c r="EXA35" s="1035"/>
      <c r="EXB35" s="1035"/>
      <c r="EXC35" s="759"/>
      <c r="EXE35" s="759"/>
      <c r="EXF35" s="759"/>
      <c r="EXN35" s="1035"/>
      <c r="EXO35" s="1035"/>
      <c r="EXP35" s="759"/>
      <c r="EXR35" s="759"/>
      <c r="EXS35" s="759"/>
      <c r="EYA35" s="1035"/>
      <c r="EYB35" s="1035"/>
      <c r="EYC35" s="759"/>
      <c r="EYE35" s="759"/>
      <c r="EYF35" s="759"/>
      <c r="EYN35" s="1035"/>
      <c r="EYO35" s="1035"/>
      <c r="EYP35" s="759"/>
      <c r="EYR35" s="759"/>
      <c r="EYS35" s="759"/>
      <c r="EZA35" s="1035"/>
      <c r="EZB35" s="1035"/>
      <c r="EZC35" s="759"/>
      <c r="EZE35" s="759"/>
      <c r="EZF35" s="759"/>
      <c r="EZN35" s="1035"/>
      <c r="EZO35" s="1035"/>
      <c r="EZP35" s="759"/>
      <c r="EZR35" s="759"/>
      <c r="EZS35" s="759"/>
      <c r="FAA35" s="1035"/>
      <c r="FAB35" s="1035"/>
      <c r="FAC35" s="759"/>
      <c r="FAE35" s="759"/>
      <c r="FAF35" s="759"/>
      <c r="FAN35" s="1035"/>
      <c r="FAO35" s="1035"/>
      <c r="FAP35" s="759"/>
      <c r="FAR35" s="759"/>
      <c r="FAS35" s="759"/>
      <c r="FBA35" s="1035"/>
      <c r="FBB35" s="1035"/>
      <c r="FBC35" s="759"/>
      <c r="FBE35" s="759"/>
      <c r="FBF35" s="759"/>
      <c r="FBN35" s="1035"/>
      <c r="FBO35" s="1035"/>
      <c r="FBP35" s="759"/>
      <c r="FBR35" s="759"/>
      <c r="FBS35" s="759"/>
      <c r="FCA35" s="1035"/>
      <c r="FCB35" s="1035"/>
      <c r="FCC35" s="759"/>
      <c r="FCE35" s="759"/>
      <c r="FCF35" s="759"/>
      <c r="FCN35" s="1035"/>
      <c r="FCO35" s="1035"/>
      <c r="FCP35" s="759"/>
      <c r="FCR35" s="759"/>
      <c r="FCS35" s="759"/>
      <c r="FDA35" s="1035"/>
      <c r="FDB35" s="1035"/>
      <c r="FDC35" s="759"/>
      <c r="FDE35" s="759"/>
      <c r="FDF35" s="759"/>
      <c r="FDN35" s="1035"/>
      <c r="FDO35" s="1035"/>
      <c r="FDP35" s="759"/>
      <c r="FDR35" s="759"/>
      <c r="FDS35" s="759"/>
      <c r="FEA35" s="1035"/>
      <c r="FEB35" s="1035"/>
      <c r="FEC35" s="759"/>
      <c r="FEE35" s="759"/>
      <c r="FEF35" s="759"/>
      <c r="FEN35" s="1035"/>
      <c r="FEO35" s="1035"/>
      <c r="FEP35" s="759"/>
      <c r="FER35" s="759"/>
      <c r="FES35" s="759"/>
      <c r="FFA35" s="1035"/>
      <c r="FFB35" s="1035"/>
      <c r="FFC35" s="759"/>
      <c r="FFE35" s="759"/>
      <c r="FFF35" s="759"/>
      <c r="FFN35" s="1035"/>
      <c r="FFO35" s="1035"/>
      <c r="FFP35" s="759"/>
      <c r="FFR35" s="759"/>
      <c r="FFS35" s="759"/>
      <c r="FGA35" s="1035"/>
      <c r="FGB35" s="1035"/>
      <c r="FGC35" s="759"/>
      <c r="FGE35" s="759"/>
      <c r="FGF35" s="759"/>
      <c r="FGN35" s="1035"/>
      <c r="FGO35" s="1035"/>
      <c r="FGP35" s="759"/>
      <c r="FGR35" s="759"/>
      <c r="FGS35" s="759"/>
      <c r="FHA35" s="1035"/>
      <c r="FHB35" s="1035"/>
      <c r="FHC35" s="759"/>
      <c r="FHE35" s="759"/>
      <c r="FHF35" s="759"/>
      <c r="FHN35" s="1035"/>
      <c r="FHO35" s="1035"/>
      <c r="FHP35" s="759"/>
      <c r="FHR35" s="759"/>
      <c r="FHS35" s="759"/>
      <c r="FIA35" s="1035"/>
      <c r="FIB35" s="1035"/>
      <c r="FIC35" s="759"/>
      <c r="FIE35" s="759"/>
      <c r="FIF35" s="759"/>
      <c r="FIN35" s="1035"/>
      <c r="FIO35" s="1035"/>
      <c r="FIP35" s="759"/>
      <c r="FIR35" s="759"/>
      <c r="FIS35" s="759"/>
      <c r="FJA35" s="1035"/>
      <c r="FJB35" s="1035"/>
      <c r="FJC35" s="759"/>
      <c r="FJE35" s="759"/>
      <c r="FJF35" s="759"/>
      <c r="FJN35" s="1035"/>
      <c r="FJO35" s="1035"/>
      <c r="FJP35" s="759"/>
      <c r="FJR35" s="759"/>
      <c r="FJS35" s="759"/>
      <c r="FKA35" s="1035"/>
      <c r="FKB35" s="1035"/>
      <c r="FKC35" s="759"/>
      <c r="FKE35" s="759"/>
      <c r="FKF35" s="759"/>
      <c r="FKN35" s="1035"/>
      <c r="FKO35" s="1035"/>
      <c r="FKP35" s="759"/>
      <c r="FKR35" s="759"/>
      <c r="FKS35" s="759"/>
      <c r="FLA35" s="1035"/>
      <c r="FLB35" s="1035"/>
      <c r="FLC35" s="759"/>
      <c r="FLE35" s="759"/>
      <c r="FLF35" s="759"/>
      <c r="FLN35" s="1035"/>
      <c r="FLO35" s="1035"/>
      <c r="FLP35" s="759"/>
      <c r="FLR35" s="759"/>
      <c r="FLS35" s="759"/>
      <c r="FMA35" s="1035"/>
      <c r="FMB35" s="1035"/>
      <c r="FMC35" s="759"/>
      <c r="FME35" s="759"/>
      <c r="FMF35" s="759"/>
      <c r="FMN35" s="1035"/>
      <c r="FMO35" s="1035"/>
      <c r="FMP35" s="759"/>
      <c r="FMR35" s="759"/>
      <c r="FMS35" s="759"/>
      <c r="FNA35" s="1035"/>
      <c r="FNB35" s="1035"/>
      <c r="FNC35" s="759"/>
      <c r="FNE35" s="759"/>
      <c r="FNF35" s="759"/>
      <c r="FNN35" s="1035"/>
      <c r="FNO35" s="1035"/>
      <c r="FNP35" s="759"/>
      <c r="FNR35" s="759"/>
      <c r="FNS35" s="759"/>
      <c r="FOA35" s="1035"/>
      <c r="FOB35" s="1035"/>
      <c r="FOC35" s="759"/>
      <c r="FOE35" s="759"/>
      <c r="FOF35" s="759"/>
      <c r="FON35" s="1035"/>
      <c r="FOO35" s="1035"/>
      <c r="FOP35" s="759"/>
      <c r="FOR35" s="759"/>
      <c r="FOS35" s="759"/>
      <c r="FPA35" s="1035"/>
      <c r="FPB35" s="1035"/>
      <c r="FPC35" s="759"/>
      <c r="FPE35" s="759"/>
      <c r="FPF35" s="759"/>
      <c r="FPN35" s="1035"/>
      <c r="FPO35" s="1035"/>
      <c r="FPP35" s="759"/>
      <c r="FPR35" s="759"/>
      <c r="FPS35" s="759"/>
      <c r="FQA35" s="1035"/>
      <c r="FQB35" s="1035"/>
      <c r="FQC35" s="759"/>
      <c r="FQE35" s="759"/>
      <c r="FQF35" s="759"/>
      <c r="FQN35" s="1035"/>
      <c r="FQO35" s="1035"/>
      <c r="FQP35" s="759"/>
      <c r="FQR35" s="759"/>
      <c r="FQS35" s="759"/>
      <c r="FRA35" s="1035"/>
      <c r="FRB35" s="1035"/>
      <c r="FRC35" s="759"/>
      <c r="FRE35" s="759"/>
      <c r="FRF35" s="759"/>
      <c r="FRN35" s="1035"/>
      <c r="FRO35" s="1035"/>
      <c r="FRP35" s="759"/>
      <c r="FRR35" s="759"/>
      <c r="FRS35" s="759"/>
      <c r="FSA35" s="1035"/>
      <c r="FSB35" s="1035"/>
      <c r="FSC35" s="759"/>
      <c r="FSE35" s="759"/>
      <c r="FSF35" s="759"/>
      <c r="FSN35" s="1035"/>
      <c r="FSO35" s="1035"/>
      <c r="FSP35" s="759"/>
      <c r="FSR35" s="759"/>
      <c r="FSS35" s="759"/>
      <c r="FTA35" s="1035"/>
      <c r="FTB35" s="1035"/>
      <c r="FTC35" s="759"/>
      <c r="FTE35" s="759"/>
      <c r="FTF35" s="759"/>
      <c r="FTN35" s="1035"/>
      <c r="FTO35" s="1035"/>
      <c r="FTP35" s="759"/>
      <c r="FTR35" s="759"/>
      <c r="FTS35" s="759"/>
      <c r="FUA35" s="1035"/>
      <c r="FUB35" s="1035"/>
      <c r="FUC35" s="759"/>
      <c r="FUE35" s="759"/>
      <c r="FUF35" s="759"/>
      <c r="FUN35" s="1035"/>
      <c r="FUO35" s="1035"/>
      <c r="FUP35" s="759"/>
      <c r="FUR35" s="759"/>
      <c r="FUS35" s="759"/>
      <c r="FVA35" s="1035"/>
      <c r="FVB35" s="1035"/>
      <c r="FVC35" s="759"/>
      <c r="FVE35" s="759"/>
      <c r="FVF35" s="759"/>
      <c r="FVN35" s="1035"/>
      <c r="FVO35" s="1035"/>
      <c r="FVP35" s="759"/>
      <c r="FVR35" s="759"/>
      <c r="FVS35" s="759"/>
      <c r="FWA35" s="1035"/>
      <c r="FWB35" s="1035"/>
      <c r="FWC35" s="759"/>
      <c r="FWE35" s="759"/>
      <c r="FWF35" s="759"/>
      <c r="FWN35" s="1035"/>
      <c r="FWO35" s="1035"/>
      <c r="FWP35" s="759"/>
      <c r="FWR35" s="759"/>
      <c r="FWS35" s="759"/>
      <c r="FXA35" s="1035"/>
      <c r="FXB35" s="1035"/>
      <c r="FXC35" s="759"/>
      <c r="FXE35" s="759"/>
      <c r="FXF35" s="759"/>
      <c r="FXN35" s="1035"/>
      <c r="FXO35" s="1035"/>
      <c r="FXP35" s="759"/>
      <c r="FXR35" s="759"/>
      <c r="FXS35" s="759"/>
      <c r="FYA35" s="1035"/>
      <c r="FYB35" s="1035"/>
      <c r="FYC35" s="759"/>
      <c r="FYE35" s="759"/>
      <c r="FYF35" s="759"/>
      <c r="FYN35" s="1035"/>
      <c r="FYO35" s="1035"/>
      <c r="FYP35" s="759"/>
      <c r="FYR35" s="759"/>
      <c r="FYS35" s="759"/>
      <c r="FZA35" s="1035"/>
      <c r="FZB35" s="1035"/>
      <c r="FZC35" s="759"/>
      <c r="FZE35" s="759"/>
      <c r="FZF35" s="759"/>
      <c r="FZN35" s="1035"/>
      <c r="FZO35" s="1035"/>
      <c r="FZP35" s="759"/>
      <c r="FZR35" s="759"/>
      <c r="FZS35" s="759"/>
      <c r="GAA35" s="1035"/>
      <c r="GAB35" s="1035"/>
      <c r="GAC35" s="759"/>
      <c r="GAE35" s="759"/>
      <c r="GAF35" s="759"/>
      <c r="GAN35" s="1035"/>
      <c r="GAO35" s="1035"/>
      <c r="GAP35" s="759"/>
      <c r="GAR35" s="759"/>
      <c r="GAS35" s="759"/>
      <c r="GBA35" s="1035"/>
      <c r="GBB35" s="1035"/>
      <c r="GBC35" s="759"/>
      <c r="GBE35" s="759"/>
      <c r="GBF35" s="759"/>
      <c r="GBN35" s="1035"/>
      <c r="GBO35" s="1035"/>
      <c r="GBP35" s="759"/>
      <c r="GBR35" s="759"/>
      <c r="GBS35" s="759"/>
      <c r="GCA35" s="1035"/>
      <c r="GCB35" s="1035"/>
      <c r="GCC35" s="759"/>
      <c r="GCE35" s="759"/>
      <c r="GCF35" s="759"/>
      <c r="GCN35" s="1035"/>
      <c r="GCO35" s="1035"/>
      <c r="GCP35" s="759"/>
      <c r="GCR35" s="759"/>
      <c r="GCS35" s="759"/>
      <c r="GDA35" s="1035"/>
      <c r="GDB35" s="1035"/>
      <c r="GDC35" s="759"/>
      <c r="GDE35" s="759"/>
      <c r="GDF35" s="759"/>
      <c r="GDN35" s="1035"/>
      <c r="GDO35" s="1035"/>
      <c r="GDP35" s="759"/>
      <c r="GDR35" s="759"/>
      <c r="GDS35" s="759"/>
      <c r="GEA35" s="1035"/>
      <c r="GEB35" s="1035"/>
      <c r="GEC35" s="759"/>
      <c r="GEE35" s="759"/>
      <c r="GEF35" s="759"/>
      <c r="GEN35" s="1035"/>
      <c r="GEO35" s="1035"/>
      <c r="GEP35" s="759"/>
      <c r="GER35" s="759"/>
      <c r="GES35" s="759"/>
      <c r="GFA35" s="1035"/>
      <c r="GFB35" s="1035"/>
      <c r="GFC35" s="759"/>
      <c r="GFE35" s="759"/>
      <c r="GFF35" s="759"/>
      <c r="GFN35" s="1035"/>
      <c r="GFO35" s="1035"/>
      <c r="GFP35" s="759"/>
      <c r="GFR35" s="759"/>
      <c r="GFS35" s="759"/>
      <c r="GGA35" s="1035"/>
      <c r="GGB35" s="1035"/>
      <c r="GGC35" s="759"/>
      <c r="GGE35" s="759"/>
      <c r="GGF35" s="759"/>
      <c r="GGN35" s="1035"/>
      <c r="GGO35" s="1035"/>
      <c r="GGP35" s="759"/>
      <c r="GGR35" s="759"/>
      <c r="GGS35" s="759"/>
      <c r="GHA35" s="1035"/>
      <c r="GHB35" s="1035"/>
      <c r="GHC35" s="759"/>
      <c r="GHE35" s="759"/>
      <c r="GHF35" s="759"/>
      <c r="GHN35" s="1035"/>
      <c r="GHO35" s="1035"/>
      <c r="GHP35" s="759"/>
      <c r="GHR35" s="759"/>
      <c r="GHS35" s="759"/>
      <c r="GIA35" s="1035"/>
      <c r="GIB35" s="1035"/>
      <c r="GIC35" s="759"/>
      <c r="GIE35" s="759"/>
      <c r="GIF35" s="759"/>
      <c r="GIN35" s="1035"/>
      <c r="GIO35" s="1035"/>
      <c r="GIP35" s="759"/>
      <c r="GIR35" s="759"/>
      <c r="GIS35" s="759"/>
      <c r="GJA35" s="1035"/>
      <c r="GJB35" s="1035"/>
      <c r="GJC35" s="759"/>
      <c r="GJE35" s="759"/>
      <c r="GJF35" s="759"/>
      <c r="GJN35" s="1035"/>
      <c r="GJO35" s="1035"/>
      <c r="GJP35" s="759"/>
      <c r="GJR35" s="759"/>
      <c r="GJS35" s="759"/>
      <c r="GKA35" s="1035"/>
      <c r="GKB35" s="1035"/>
      <c r="GKC35" s="759"/>
      <c r="GKE35" s="759"/>
      <c r="GKF35" s="759"/>
      <c r="GKN35" s="1035"/>
      <c r="GKO35" s="1035"/>
      <c r="GKP35" s="759"/>
      <c r="GKR35" s="759"/>
      <c r="GKS35" s="759"/>
      <c r="GLA35" s="1035"/>
      <c r="GLB35" s="1035"/>
      <c r="GLC35" s="759"/>
      <c r="GLE35" s="759"/>
      <c r="GLF35" s="759"/>
      <c r="GLN35" s="1035"/>
      <c r="GLO35" s="1035"/>
      <c r="GLP35" s="759"/>
      <c r="GLR35" s="759"/>
      <c r="GLS35" s="759"/>
      <c r="GMA35" s="1035"/>
      <c r="GMB35" s="1035"/>
      <c r="GMC35" s="759"/>
      <c r="GME35" s="759"/>
      <c r="GMF35" s="759"/>
      <c r="GMN35" s="1035"/>
      <c r="GMO35" s="1035"/>
      <c r="GMP35" s="759"/>
      <c r="GMR35" s="759"/>
      <c r="GMS35" s="759"/>
      <c r="GNA35" s="1035"/>
      <c r="GNB35" s="1035"/>
      <c r="GNC35" s="759"/>
      <c r="GNE35" s="759"/>
      <c r="GNF35" s="759"/>
      <c r="GNN35" s="1035"/>
      <c r="GNO35" s="1035"/>
      <c r="GNP35" s="759"/>
      <c r="GNR35" s="759"/>
      <c r="GNS35" s="759"/>
      <c r="GOA35" s="1035"/>
      <c r="GOB35" s="1035"/>
      <c r="GOC35" s="759"/>
      <c r="GOE35" s="759"/>
      <c r="GOF35" s="759"/>
      <c r="GON35" s="1035"/>
      <c r="GOO35" s="1035"/>
      <c r="GOP35" s="759"/>
      <c r="GOR35" s="759"/>
      <c r="GOS35" s="759"/>
      <c r="GPA35" s="1035"/>
      <c r="GPB35" s="1035"/>
      <c r="GPC35" s="759"/>
      <c r="GPE35" s="759"/>
      <c r="GPF35" s="759"/>
      <c r="GPN35" s="1035"/>
      <c r="GPO35" s="1035"/>
      <c r="GPP35" s="759"/>
      <c r="GPR35" s="759"/>
      <c r="GPS35" s="759"/>
      <c r="GQA35" s="1035"/>
      <c r="GQB35" s="1035"/>
      <c r="GQC35" s="759"/>
      <c r="GQE35" s="759"/>
      <c r="GQF35" s="759"/>
      <c r="GQN35" s="1035"/>
      <c r="GQO35" s="1035"/>
      <c r="GQP35" s="759"/>
      <c r="GQR35" s="759"/>
      <c r="GQS35" s="759"/>
      <c r="GRA35" s="1035"/>
      <c r="GRB35" s="1035"/>
      <c r="GRC35" s="759"/>
      <c r="GRE35" s="759"/>
      <c r="GRF35" s="759"/>
      <c r="GRN35" s="1035"/>
      <c r="GRO35" s="1035"/>
      <c r="GRP35" s="759"/>
      <c r="GRR35" s="759"/>
      <c r="GRS35" s="759"/>
      <c r="GSA35" s="1035"/>
      <c r="GSB35" s="1035"/>
      <c r="GSC35" s="759"/>
      <c r="GSE35" s="759"/>
      <c r="GSF35" s="759"/>
      <c r="GSN35" s="1035"/>
      <c r="GSO35" s="1035"/>
      <c r="GSP35" s="759"/>
      <c r="GSR35" s="759"/>
      <c r="GSS35" s="759"/>
      <c r="GTA35" s="1035"/>
      <c r="GTB35" s="1035"/>
      <c r="GTC35" s="759"/>
      <c r="GTE35" s="759"/>
      <c r="GTF35" s="759"/>
      <c r="GTN35" s="1035"/>
      <c r="GTO35" s="1035"/>
      <c r="GTP35" s="759"/>
      <c r="GTR35" s="759"/>
      <c r="GTS35" s="759"/>
      <c r="GUA35" s="1035"/>
      <c r="GUB35" s="1035"/>
      <c r="GUC35" s="759"/>
      <c r="GUE35" s="759"/>
      <c r="GUF35" s="759"/>
      <c r="GUN35" s="1035"/>
      <c r="GUO35" s="1035"/>
      <c r="GUP35" s="759"/>
      <c r="GUR35" s="759"/>
      <c r="GUS35" s="759"/>
      <c r="GVA35" s="1035"/>
      <c r="GVB35" s="1035"/>
      <c r="GVC35" s="759"/>
      <c r="GVE35" s="759"/>
      <c r="GVF35" s="759"/>
      <c r="GVN35" s="1035"/>
      <c r="GVO35" s="1035"/>
      <c r="GVP35" s="759"/>
      <c r="GVR35" s="759"/>
      <c r="GVS35" s="759"/>
      <c r="GWA35" s="1035"/>
      <c r="GWB35" s="1035"/>
      <c r="GWC35" s="759"/>
      <c r="GWE35" s="759"/>
      <c r="GWF35" s="759"/>
      <c r="GWN35" s="1035"/>
      <c r="GWO35" s="1035"/>
      <c r="GWP35" s="759"/>
      <c r="GWR35" s="759"/>
      <c r="GWS35" s="759"/>
      <c r="GXA35" s="1035"/>
      <c r="GXB35" s="1035"/>
      <c r="GXC35" s="759"/>
      <c r="GXE35" s="759"/>
      <c r="GXF35" s="759"/>
      <c r="GXN35" s="1035"/>
      <c r="GXO35" s="1035"/>
      <c r="GXP35" s="759"/>
      <c r="GXR35" s="759"/>
      <c r="GXS35" s="759"/>
      <c r="GYA35" s="1035"/>
      <c r="GYB35" s="1035"/>
      <c r="GYC35" s="759"/>
      <c r="GYE35" s="759"/>
      <c r="GYF35" s="759"/>
      <c r="GYN35" s="1035"/>
      <c r="GYO35" s="1035"/>
      <c r="GYP35" s="759"/>
      <c r="GYR35" s="759"/>
      <c r="GYS35" s="759"/>
      <c r="GZA35" s="1035"/>
      <c r="GZB35" s="1035"/>
      <c r="GZC35" s="759"/>
      <c r="GZE35" s="759"/>
      <c r="GZF35" s="759"/>
      <c r="GZN35" s="1035"/>
      <c r="GZO35" s="1035"/>
      <c r="GZP35" s="759"/>
      <c r="GZR35" s="759"/>
      <c r="GZS35" s="759"/>
      <c r="HAA35" s="1035"/>
      <c r="HAB35" s="1035"/>
      <c r="HAC35" s="759"/>
      <c r="HAE35" s="759"/>
      <c r="HAF35" s="759"/>
      <c r="HAN35" s="1035"/>
      <c r="HAO35" s="1035"/>
      <c r="HAP35" s="759"/>
      <c r="HAR35" s="759"/>
      <c r="HAS35" s="759"/>
      <c r="HBA35" s="1035"/>
      <c r="HBB35" s="1035"/>
      <c r="HBC35" s="759"/>
      <c r="HBE35" s="759"/>
      <c r="HBF35" s="759"/>
      <c r="HBN35" s="1035"/>
      <c r="HBO35" s="1035"/>
      <c r="HBP35" s="759"/>
      <c r="HBR35" s="759"/>
      <c r="HBS35" s="759"/>
      <c r="HCA35" s="1035"/>
      <c r="HCB35" s="1035"/>
      <c r="HCC35" s="759"/>
      <c r="HCE35" s="759"/>
      <c r="HCF35" s="759"/>
      <c r="HCN35" s="1035"/>
      <c r="HCO35" s="1035"/>
      <c r="HCP35" s="759"/>
      <c r="HCR35" s="759"/>
      <c r="HCS35" s="759"/>
      <c r="HDA35" s="1035"/>
      <c r="HDB35" s="1035"/>
      <c r="HDC35" s="759"/>
      <c r="HDE35" s="759"/>
      <c r="HDF35" s="759"/>
      <c r="HDN35" s="1035"/>
      <c r="HDO35" s="1035"/>
      <c r="HDP35" s="759"/>
      <c r="HDR35" s="759"/>
      <c r="HDS35" s="759"/>
      <c r="HEA35" s="1035"/>
      <c r="HEB35" s="1035"/>
      <c r="HEC35" s="759"/>
      <c r="HEE35" s="759"/>
      <c r="HEF35" s="759"/>
      <c r="HEN35" s="1035"/>
      <c r="HEO35" s="1035"/>
      <c r="HEP35" s="759"/>
      <c r="HER35" s="759"/>
      <c r="HES35" s="759"/>
      <c r="HFA35" s="1035"/>
      <c r="HFB35" s="1035"/>
      <c r="HFC35" s="759"/>
      <c r="HFE35" s="759"/>
      <c r="HFF35" s="759"/>
      <c r="HFN35" s="1035"/>
      <c r="HFO35" s="1035"/>
      <c r="HFP35" s="759"/>
      <c r="HFR35" s="759"/>
      <c r="HFS35" s="759"/>
      <c r="HGA35" s="1035"/>
      <c r="HGB35" s="1035"/>
      <c r="HGC35" s="759"/>
      <c r="HGE35" s="759"/>
      <c r="HGF35" s="759"/>
      <c r="HGN35" s="1035"/>
      <c r="HGO35" s="1035"/>
      <c r="HGP35" s="759"/>
      <c r="HGR35" s="759"/>
      <c r="HGS35" s="759"/>
      <c r="HHA35" s="1035"/>
      <c r="HHB35" s="1035"/>
      <c r="HHC35" s="759"/>
      <c r="HHE35" s="759"/>
      <c r="HHF35" s="759"/>
      <c r="HHN35" s="1035"/>
      <c r="HHO35" s="1035"/>
      <c r="HHP35" s="759"/>
      <c r="HHR35" s="759"/>
      <c r="HHS35" s="759"/>
      <c r="HIA35" s="1035"/>
      <c r="HIB35" s="1035"/>
      <c r="HIC35" s="759"/>
      <c r="HIE35" s="759"/>
      <c r="HIF35" s="759"/>
      <c r="HIN35" s="1035"/>
      <c r="HIO35" s="1035"/>
      <c r="HIP35" s="759"/>
      <c r="HIR35" s="759"/>
      <c r="HIS35" s="759"/>
      <c r="HJA35" s="1035"/>
      <c r="HJB35" s="1035"/>
      <c r="HJC35" s="759"/>
      <c r="HJE35" s="759"/>
      <c r="HJF35" s="759"/>
      <c r="HJN35" s="1035"/>
      <c r="HJO35" s="1035"/>
      <c r="HJP35" s="759"/>
      <c r="HJR35" s="759"/>
      <c r="HJS35" s="759"/>
      <c r="HKA35" s="1035"/>
      <c r="HKB35" s="1035"/>
      <c r="HKC35" s="759"/>
      <c r="HKE35" s="759"/>
      <c r="HKF35" s="759"/>
      <c r="HKN35" s="1035"/>
      <c r="HKO35" s="1035"/>
      <c r="HKP35" s="759"/>
      <c r="HKR35" s="759"/>
      <c r="HKS35" s="759"/>
      <c r="HLA35" s="1035"/>
      <c r="HLB35" s="1035"/>
      <c r="HLC35" s="759"/>
      <c r="HLE35" s="759"/>
      <c r="HLF35" s="759"/>
      <c r="HLN35" s="1035"/>
      <c r="HLO35" s="1035"/>
      <c r="HLP35" s="759"/>
      <c r="HLR35" s="759"/>
      <c r="HLS35" s="759"/>
      <c r="HMA35" s="1035"/>
      <c r="HMB35" s="1035"/>
      <c r="HMC35" s="759"/>
      <c r="HME35" s="759"/>
      <c r="HMF35" s="759"/>
      <c r="HMN35" s="1035"/>
      <c r="HMO35" s="1035"/>
      <c r="HMP35" s="759"/>
      <c r="HMR35" s="759"/>
      <c r="HMS35" s="759"/>
      <c r="HNA35" s="1035"/>
      <c r="HNB35" s="1035"/>
      <c r="HNC35" s="759"/>
      <c r="HNE35" s="759"/>
      <c r="HNF35" s="759"/>
      <c r="HNN35" s="1035"/>
      <c r="HNO35" s="1035"/>
      <c r="HNP35" s="759"/>
      <c r="HNR35" s="759"/>
      <c r="HNS35" s="759"/>
      <c r="HOA35" s="1035"/>
      <c r="HOB35" s="1035"/>
      <c r="HOC35" s="759"/>
      <c r="HOE35" s="759"/>
      <c r="HOF35" s="759"/>
      <c r="HON35" s="1035"/>
      <c r="HOO35" s="1035"/>
      <c r="HOP35" s="759"/>
      <c r="HOR35" s="759"/>
      <c r="HOS35" s="759"/>
      <c r="HPA35" s="1035"/>
      <c r="HPB35" s="1035"/>
      <c r="HPC35" s="759"/>
      <c r="HPE35" s="759"/>
      <c r="HPF35" s="759"/>
      <c r="HPN35" s="1035"/>
      <c r="HPO35" s="1035"/>
      <c r="HPP35" s="759"/>
      <c r="HPR35" s="759"/>
      <c r="HPS35" s="759"/>
      <c r="HQA35" s="1035"/>
      <c r="HQB35" s="1035"/>
      <c r="HQC35" s="759"/>
      <c r="HQE35" s="759"/>
      <c r="HQF35" s="759"/>
      <c r="HQN35" s="1035"/>
      <c r="HQO35" s="1035"/>
      <c r="HQP35" s="759"/>
      <c r="HQR35" s="759"/>
      <c r="HQS35" s="759"/>
      <c r="HRA35" s="1035"/>
      <c r="HRB35" s="1035"/>
      <c r="HRC35" s="759"/>
      <c r="HRE35" s="759"/>
      <c r="HRF35" s="759"/>
      <c r="HRN35" s="1035"/>
      <c r="HRO35" s="1035"/>
      <c r="HRP35" s="759"/>
      <c r="HRR35" s="759"/>
      <c r="HRS35" s="759"/>
      <c r="HSA35" s="1035"/>
      <c r="HSB35" s="1035"/>
      <c r="HSC35" s="759"/>
      <c r="HSE35" s="759"/>
      <c r="HSF35" s="759"/>
      <c r="HSN35" s="1035"/>
      <c r="HSO35" s="1035"/>
      <c r="HSP35" s="759"/>
      <c r="HSR35" s="759"/>
      <c r="HSS35" s="759"/>
      <c r="HTA35" s="1035"/>
      <c r="HTB35" s="1035"/>
      <c r="HTC35" s="759"/>
      <c r="HTE35" s="759"/>
      <c r="HTF35" s="759"/>
      <c r="HTN35" s="1035"/>
      <c r="HTO35" s="1035"/>
      <c r="HTP35" s="759"/>
      <c r="HTR35" s="759"/>
      <c r="HTS35" s="759"/>
      <c r="HUA35" s="1035"/>
      <c r="HUB35" s="1035"/>
      <c r="HUC35" s="759"/>
      <c r="HUE35" s="759"/>
      <c r="HUF35" s="759"/>
      <c r="HUN35" s="1035"/>
      <c r="HUO35" s="1035"/>
      <c r="HUP35" s="759"/>
      <c r="HUR35" s="759"/>
      <c r="HUS35" s="759"/>
      <c r="HVA35" s="1035"/>
      <c r="HVB35" s="1035"/>
      <c r="HVC35" s="759"/>
      <c r="HVE35" s="759"/>
      <c r="HVF35" s="759"/>
      <c r="HVN35" s="1035"/>
      <c r="HVO35" s="1035"/>
      <c r="HVP35" s="759"/>
      <c r="HVR35" s="759"/>
      <c r="HVS35" s="759"/>
      <c r="HWA35" s="1035"/>
      <c r="HWB35" s="1035"/>
      <c r="HWC35" s="759"/>
      <c r="HWE35" s="759"/>
      <c r="HWF35" s="759"/>
      <c r="HWN35" s="1035"/>
      <c r="HWO35" s="1035"/>
      <c r="HWP35" s="759"/>
      <c r="HWR35" s="759"/>
      <c r="HWS35" s="759"/>
      <c r="HXA35" s="1035"/>
      <c r="HXB35" s="1035"/>
      <c r="HXC35" s="759"/>
      <c r="HXE35" s="759"/>
      <c r="HXF35" s="759"/>
      <c r="HXN35" s="1035"/>
      <c r="HXO35" s="1035"/>
      <c r="HXP35" s="759"/>
      <c r="HXR35" s="759"/>
      <c r="HXS35" s="759"/>
      <c r="HYA35" s="1035"/>
      <c r="HYB35" s="1035"/>
      <c r="HYC35" s="759"/>
      <c r="HYE35" s="759"/>
      <c r="HYF35" s="759"/>
      <c r="HYN35" s="1035"/>
      <c r="HYO35" s="1035"/>
      <c r="HYP35" s="759"/>
      <c r="HYR35" s="759"/>
      <c r="HYS35" s="759"/>
      <c r="HZA35" s="1035"/>
      <c r="HZB35" s="1035"/>
      <c r="HZC35" s="759"/>
      <c r="HZE35" s="759"/>
      <c r="HZF35" s="759"/>
      <c r="HZN35" s="1035"/>
      <c r="HZO35" s="1035"/>
      <c r="HZP35" s="759"/>
      <c r="HZR35" s="759"/>
      <c r="HZS35" s="759"/>
      <c r="IAA35" s="1035"/>
      <c r="IAB35" s="1035"/>
      <c r="IAC35" s="759"/>
      <c r="IAE35" s="759"/>
      <c r="IAF35" s="759"/>
      <c r="IAN35" s="1035"/>
      <c r="IAO35" s="1035"/>
      <c r="IAP35" s="759"/>
      <c r="IAR35" s="759"/>
      <c r="IAS35" s="759"/>
      <c r="IBA35" s="1035"/>
      <c r="IBB35" s="1035"/>
      <c r="IBC35" s="759"/>
      <c r="IBE35" s="759"/>
      <c r="IBF35" s="759"/>
      <c r="IBN35" s="1035"/>
      <c r="IBO35" s="1035"/>
      <c r="IBP35" s="759"/>
      <c r="IBR35" s="759"/>
      <c r="IBS35" s="759"/>
      <c r="ICA35" s="1035"/>
      <c r="ICB35" s="1035"/>
      <c r="ICC35" s="759"/>
      <c r="ICE35" s="759"/>
      <c r="ICF35" s="759"/>
      <c r="ICN35" s="1035"/>
      <c r="ICO35" s="1035"/>
      <c r="ICP35" s="759"/>
      <c r="ICR35" s="759"/>
      <c r="ICS35" s="759"/>
      <c r="IDA35" s="1035"/>
      <c r="IDB35" s="1035"/>
      <c r="IDC35" s="759"/>
      <c r="IDE35" s="759"/>
      <c r="IDF35" s="759"/>
      <c r="IDN35" s="1035"/>
      <c r="IDO35" s="1035"/>
      <c r="IDP35" s="759"/>
      <c r="IDR35" s="759"/>
      <c r="IDS35" s="759"/>
      <c r="IEA35" s="1035"/>
      <c r="IEB35" s="1035"/>
      <c r="IEC35" s="759"/>
      <c r="IEE35" s="759"/>
      <c r="IEF35" s="759"/>
      <c r="IEN35" s="1035"/>
      <c r="IEO35" s="1035"/>
      <c r="IEP35" s="759"/>
      <c r="IER35" s="759"/>
      <c r="IES35" s="759"/>
      <c r="IFA35" s="1035"/>
      <c r="IFB35" s="1035"/>
      <c r="IFC35" s="759"/>
      <c r="IFE35" s="759"/>
      <c r="IFF35" s="759"/>
      <c r="IFN35" s="1035"/>
      <c r="IFO35" s="1035"/>
      <c r="IFP35" s="759"/>
      <c r="IFR35" s="759"/>
      <c r="IFS35" s="759"/>
      <c r="IGA35" s="1035"/>
      <c r="IGB35" s="1035"/>
      <c r="IGC35" s="759"/>
      <c r="IGE35" s="759"/>
      <c r="IGF35" s="759"/>
      <c r="IGN35" s="1035"/>
      <c r="IGO35" s="1035"/>
      <c r="IGP35" s="759"/>
      <c r="IGR35" s="759"/>
      <c r="IGS35" s="759"/>
      <c r="IHA35" s="1035"/>
      <c r="IHB35" s="1035"/>
      <c r="IHC35" s="759"/>
      <c r="IHE35" s="759"/>
      <c r="IHF35" s="759"/>
      <c r="IHN35" s="1035"/>
      <c r="IHO35" s="1035"/>
      <c r="IHP35" s="759"/>
      <c r="IHR35" s="759"/>
      <c r="IHS35" s="759"/>
      <c r="IIA35" s="1035"/>
      <c r="IIB35" s="1035"/>
      <c r="IIC35" s="759"/>
      <c r="IIE35" s="759"/>
      <c r="IIF35" s="759"/>
      <c r="IIN35" s="1035"/>
      <c r="IIO35" s="1035"/>
      <c r="IIP35" s="759"/>
      <c r="IIR35" s="759"/>
      <c r="IIS35" s="759"/>
      <c r="IJA35" s="1035"/>
      <c r="IJB35" s="1035"/>
      <c r="IJC35" s="759"/>
      <c r="IJE35" s="759"/>
      <c r="IJF35" s="759"/>
      <c r="IJN35" s="1035"/>
      <c r="IJO35" s="1035"/>
      <c r="IJP35" s="759"/>
      <c r="IJR35" s="759"/>
      <c r="IJS35" s="759"/>
      <c r="IKA35" s="1035"/>
      <c r="IKB35" s="1035"/>
      <c r="IKC35" s="759"/>
      <c r="IKE35" s="759"/>
      <c r="IKF35" s="759"/>
      <c r="IKN35" s="1035"/>
      <c r="IKO35" s="1035"/>
      <c r="IKP35" s="759"/>
      <c r="IKR35" s="759"/>
      <c r="IKS35" s="759"/>
      <c r="ILA35" s="1035"/>
      <c r="ILB35" s="1035"/>
      <c r="ILC35" s="759"/>
      <c r="ILE35" s="759"/>
      <c r="ILF35" s="759"/>
      <c r="ILN35" s="1035"/>
      <c r="ILO35" s="1035"/>
      <c r="ILP35" s="759"/>
      <c r="ILR35" s="759"/>
      <c r="ILS35" s="759"/>
      <c r="IMA35" s="1035"/>
      <c r="IMB35" s="1035"/>
      <c r="IMC35" s="759"/>
      <c r="IME35" s="759"/>
      <c r="IMF35" s="759"/>
      <c r="IMN35" s="1035"/>
      <c r="IMO35" s="1035"/>
      <c r="IMP35" s="759"/>
      <c r="IMR35" s="759"/>
      <c r="IMS35" s="759"/>
      <c r="INA35" s="1035"/>
      <c r="INB35" s="1035"/>
      <c r="INC35" s="759"/>
      <c r="INE35" s="759"/>
      <c r="INF35" s="759"/>
      <c r="INN35" s="1035"/>
      <c r="INO35" s="1035"/>
      <c r="INP35" s="759"/>
      <c r="INR35" s="759"/>
      <c r="INS35" s="759"/>
      <c r="IOA35" s="1035"/>
      <c r="IOB35" s="1035"/>
      <c r="IOC35" s="759"/>
      <c r="IOE35" s="759"/>
      <c r="IOF35" s="759"/>
      <c r="ION35" s="1035"/>
      <c r="IOO35" s="1035"/>
      <c r="IOP35" s="759"/>
      <c r="IOR35" s="759"/>
      <c r="IOS35" s="759"/>
      <c r="IPA35" s="1035"/>
      <c r="IPB35" s="1035"/>
      <c r="IPC35" s="759"/>
      <c r="IPE35" s="759"/>
      <c r="IPF35" s="759"/>
      <c r="IPN35" s="1035"/>
      <c r="IPO35" s="1035"/>
      <c r="IPP35" s="759"/>
      <c r="IPR35" s="759"/>
      <c r="IPS35" s="759"/>
      <c r="IQA35" s="1035"/>
      <c r="IQB35" s="1035"/>
      <c r="IQC35" s="759"/>
      <c r="IQE35" s="759"/>
      <c r="IQF35" s="759"/>
      <c r="IQN35" s="1035"/>
      <c r="IQO35" s="1035"/>
      <c r="IQP35" s="759"/>
      <c r="IQR35" s="759"/>
      <c r="IQS35" s="759"/>
      <c r="IRA35" s="1035"/>
      <c r="IRB35" s="1035"/>
      <c r="IRC35" s="759"/>
      <c r="IRE35" s="759"/>
      <c r="IRF35" s="759"/>
      <c r="IRN35" s="1035"/>
      <c r="IRO35" s="1035"/>
      <c r="IRP35" s="759"/>
      <c r="IRR35" s="759"/>
      <c r="IRS35" s="759"/>
      <c r="ISA35" s="1035"/>
      <c r="ISB35" s="1035"/>
      <c r="ISC35" s="759"/>
      <c r="ISE35" s="759"/>
      <c r="ISF35" s="759"/>
      <c r="ISN35" s="1035"/>
      <c r="ISO35" s="1035"/>
      <c r="ISP35" s="759"/>
      <c r="ISR35" s="759"/>
      <c r="ISS35" s="759"/>
      <c r="ITA35" s="1035"/>
      <c r="ITB35" s="1035"/>
      <c r="ITC35" s="759"/>
      <c r="ITE35" s="759"/>
      <c r="ITF35" s="759"/>
      <c r="ITN35" s="1035"/>
      <c r="ITO35" s="1035"/>
      <c r="ITP35" s="759"/>
      <c r="ITR35" s="759"/>
      <c r="ITS35" s="759"/>
      <c r="IUA35" s="1035"/>
      <c r="IUB35" s="1035"/>
      <c r="IUC35" s="759"/>
      <c r="IUE35" s="759"/>
      <c r="IUF35" s="759"/>
      <c r="IUN35" s="1035"/>
      <c r="IUO35" s="1035"/>
      <c r="IUP35" s="759"/>
      <c r="IUR35" s="759"/>
      <c r="IUS35" s="759"/>
      <c r="IVA35" s="1035"/>
      <c r="IVB35" s="1035"/>
      <c r="IVC35" s="759"/>
      <c r="IVE35" s="759"/>
      <c r="IVF35" s="759"/>
      <c r="IVN35" s="1035"/>
      <c r="IVO35" s="1035"/>
      <c r="IVP35" s="759"/>
      <c r="IVR35" s="759"/>
      <c r="IVS35" s="759"/>
      <c r="IWA35" s="1035"/>
      <c r="IWB35" s="1035"/>
      <c r="IWC35" s="759"/>
      <c r="IWE35" s="759"/>
      <c r="IWF35" s="759"/>
      <c r="IWN35" s="1035"/>
      <c r="IWO35" s="1035"/>
      <c r="IWP35" s="759"/>
      <c r="IWR35" s="759"/>
      <c r="IWS35" s="759"/>
      <c r="IXA35" s="1035"/>
      <c r="IXB35" s="1035"/>
      <c r="IXC35" s="759"/>
      <c r="IXE35" s="759"/>
      <c r="IXF35" s="759"/>
      <c r="IXN35" s="1035"/>
      <c r="IXO35" s="1035"/>
      <c r="IXP35" s="759"/>
      <c r="IXR35" s="759"/>
      <c r="IXS35" s="759"/>
      <c r="IYA35" s="1035"/>
      <c r="IYB35" s="1035"/>
      <c r="IYC35" s="759"/>
      <c r="IYE35" s="759"/>
      <c r="IYF35" s="759"/>
      <c r="IYN35" s="1035"/>
      <c r="IYO35" s="1035"/>
      <c r="IYP35" s="759"/>
      <c r="IYR35" s="759"/>
      <c r="IYS35" s="759"/>
      <c r="IZA35" s="1035"/>
      <c r="IZB35" s="1035"/>
      <c r="IZC35" s="759"/>
      <c r="IZE35" s="759"/>
      <c r="IZF35" s="759"/>
      <c r="IZN35" s="1035"/>
      <c r="IZO35" s="1035"/>
      <c r="IZP35" s="759"/>
      <c r="IZR35" s="759"/>
      <c r="IZS35" s="759"/>
      <c r="JAA35" s="1035"/>
      <c r="JAB35" s="1035"/>
      <c r="JAC35" s="759"/>
      <c r="JAE35" s="759"/>
      <c r="JAF35" s="759"/>
      <c r="JAN35" s="1035"/>
      <c r="JAO35" s="1035"/>
      <c r="JAP35" s="759"/>
      <c r="JAR35" s="759"/>
      <c r="JAS35" s="759"/>
      <c r="JBA35" s="1035"/>
      <c r="JBB35" s="1035"/>
      <c r="JBC35" s="759"/>
      <c r="JBE35" s="759"/>
      <c r="JBF35" s="759"/>
      <c r="JBN35" s="1035"/>
      <c r="JBO35" s="1035"/>
      <c r="JBP35" s="759"/>
      <c r="JBR35" s="759"/>
      <c r="JBS35" s="759"/>
      <c r="JCA35" s="1035"/>
      <c r="JCB35" s="1035"/>
      <c r="JCC35" s="759"/>
      <c r="JCE35" s="759"/>
      <c r="JCF35" s="759"/>
      <c r="JCN35" s="1035"/>
      <c r="JCO35" s="1035"/>
      <c r="JCP35" s="759"/>
      <c r="JCR35" s="759"/>
      <c r="JCS35" s="759"/>
      <c r="JDA35" s="1035"/>
      <c r="JDB35" s="1035"/>
      <c r="JDC35" s="759"/>
      <c r="JDE35" s="759"/>
      <c r="JDF35" s="759"/>
      <c r="JDN35" s="1035"/>
      <c r="JDO35" s="1035"/>
      <c r="JDP35" s="759"/>
      <c r="JDR35" s="759"/>
      <c r="JDS35" s="759"/>
      <c r="JEA35" s="1035"/>
      <c r="JEB35" s="1035"/>
      <c r="JEC35" s="759"/>
      <c r="JEE35" s="759"/>
      <c r="JEF35" s="759"/>
      <c r="JEN35" s="1035"/>
      <c r="JEO35" s="1035"/>
      <c r="JEP35" s="759"/>
      <c r="JER35" s="759"/>
      <c r="JES35" s="759"/>
      <c r="JFA35" s="1035"/>
      <c r="JFB35" s="1035"/>
      <c r="JFC35" s="759"/>
      <c r="JFE35" s="759"/>
      <c r="JFF35" s="759"/>
      <c r="JFN35" s="1035"/>
      <c r="JFO35" s="1035"/>
      <c r="JFP35" s="759"/>
      <c r="JFR35" s="759"/>
      <c r="JFS35" s="759"/>
      <c r="JGA35" s="1035"/>
      <c r="JGB35" s="1035"/>
      <c r="JGC35" s="759"/>
      <c r="JGE35" s="759"/>
      <c r="JGF35" s="759"/>
      <c r="JGN35" s="1035"/>
      <c r="JGO35" s="1035"/>
      <c r="JGP35" s="759"/>
      <c r="JGR35" s="759"/>
      <c r="JGS35" s="759"/>
      <c r="JHA35" s="1035"/>
      <c r="JHB35" s="1035"/>
      <c r="JHC35" s="759"/>
      <c r="JHE35" s="759"/>
      <c r="JHF35" s="759"/>
      <c r="JHN35" s="1035"/>
      <c r="JHO35" s="1035"/>
      <c r="JHP35" s="759"/>
      <c r="JHR35" s="759"/>
      <c r="JHS35" s="759"/>
      <c r="JIA35" s="1035"/>
      <c r="JIB35" s="1035"/>
      <c r="JIC35" s="759"/>
      <c r="JIE35" s="759"/>
      <c r="JIF35" s="759"/>
      <c r="JIN35" s="1035"/>
      <c r="JIO35" s="1035"/>
      <c r="JIP35" s="759"/>
      <c r="JIR35" s="759"/>
      <c r="JIS35" s="759"/>
      <c r="JJA35" s="1035"/>
      <c r="JJB35" s="1035"/>
      <c r="JJC35" s="759"/>
      <c r="JJE35" s="759"/>
      <c r="JJF35" s="759"/>
      <c r="JJN35" s="1035"/>
      <c r="JJO35" s="1035"/>
      <c r="JJP35" s="759"/>
      <c r="JJR35" s="759"/>
      <c r="JJS35" s="759"/>
      <c r="JKA35" s="1035"/>
      <c r="JKB35" s="1035"/>
      <c r="JKC35" s="759"/>
      <c r="JKE35" s="759"/>
      <c r="JKF35" s="759"/>
      <c r="JKN35" s="1035"/>
      <c r="JKO35" s="1035"/>
      <c r="JKP35" s="759"/>
      <c r="JKR35" s="759"/>
      <c r="JKS35" s="759"/>
      <c r="JLA35" s="1035"/>
      <c r="JLB35" s="1035"/>
      <c r="JLC35" s="759"/>
      <c r="JLE35" s="759"/>
      <c r="JLF35" s="759"/>
      <c r="JLN35" s="1035"/>
      <c r="JLO35" s="1035"/>
      <c r="JLP35" s="759"/>
      <c r="JLR35" s="759"/>
      <c r="JLS35" s="759"/>
      <c r="JMA35" s="1035"/>
      <c r="JMB35" s="1035"/>
      <c r="JMC35" s="759"/>
      <c r="JME35" s="759"/>
      <c r="JMF35" s="759"/>
      <c r="JMN35" s="1035"/>
      <c r="JMO35" s="1035"/>
      <c r="JMP35" s="759"/>
      <c r="JMR35" s="759"/>
      <c r="JMS35" s="759"/>
      <c r="JNA35" s="1035"/>
      <c r="JNB35" s="1035"/>
      <c r="JNC35" s="759"/>
      <c r="JNE35" s="759"/>
      <c r="JNF35" s="759"/>
      <c r="JNN35" s="1035"/>
      <c r="JNO35" s="1035"/>
      <c r="JNP35" s="759"/>
      <c r="JNR35" s="759"/>
      <c r="JNS35" s="759"/>
      <c r="JOA35" s="1035"/>
      <c r="JOB35" s="1035"/>
      <c r="JOC35" s="759"/>
      <c r="JOE35" s="759"/>
      <c r="JOF35" s="759"/>
      <c r="JON35" s="1035"/>
      <c r="JOO35" s="1035"/>
      <c r="JOP35" s="759"/>
      <c r="JOR35" s="759"/>
      <c r="JOS35" s="759"/>
      <c r="JPA35" s="1035"/>
      <c r="JPB35" s="1035"/>
      <c r="JPC35" s="759"/>
      <c r="JPE35" s="759"/>
      <c r="JPF35" s="759"/>
      <c r="JPN35" s="1035"/>
      <c r="JPO35" s="1035"/>
      <c r="JPP35" s="759"/>
      <c r="JPR35" s="759"/>
      <c r="JPS35" s="759"/>
      <c r="JQA35" s="1035"/>
      <c r="JQB35" s="1035"/>
      <c r="JQC35" s="759"/>
      <c r="JQE35" s="759"/>
      <c r="JQF35" s="759"/>
      <c r="JQN35" s="1035"/>
      <c r="JQO35" s="1035"/>
      <c r="JQP35" s="759"/>
      <c r="JQR35" s="759"/>
      <c r="JQS35" s="759"/>
      <c r="JRA35" s="1035"/>
      <c r="JRB35" s="1035"/>
      <c r="JRC35" s="759"/>
      <c r="JRE35" s="759"/>
      <c r="JRF35" s="759"/>
      <c r="JRN35" s="1035"/>
      <c r="JRO35" s="1035"/>
      <c r="JRP35" s="759"/>
      <c r="JRR35" s="759"/>
      <c r="JRS35" s="759"/>
      <c r="JSA35" s="1035"/>
      <c r="JSB35" s="1035"/>
      <c r="JSC35" s="759"/>
      <c r="JSE35" s="759"/>
      <c r="JSF35" s="759"/>
      <c r="JSN35" s="1035"/>
      <c r="JSO35" s="1035"/>
      <c r="JSP35" s="759"/>
      <c r="JSR35" s="759"/>
      <c r="JSS35" s="759"/>
      <c r="JTA35" s="1035"/>
      <c r="JTB35" s="1035"/>
      <c r="JTC35" s="759"/>
      <c r="JTE35" s="759"/>
      <c r="JTF35" s="759"/>
      <c r="JTN35" s="1035"/>
      <c r="JTO35" s="1035"/>
      <c r="JTP35" s="759"/>
      <c r="JTR35" s="759"/>
      <c r="JTS35" s="759"/>
      <c r="JUA35" s="1035"/>
      <c r="JUB35" s="1035"/>
      <c r="JUC35" s="759"/>
      <c r="JUE35" s="759"/>
      <c r="JUF35" s="759"/>
      <c r="JUN35" s="1035"/>
      <c r="JUO35" s="1035"/>
      <c r="JUP35" s="759"/>
      <c r="JUR35" s="759"/>
      <c r="JUS35" s="759"/>
      <c r="JVA35" s="1035"/>
      <c r="JVB35" s="1035"/>
      <c r="JVC35" s="759"/>
      <c r="JVE35" s="759"/>
      <c r="JVF35" s="759"/>
      <c r="JVN35" s="1035"/>
      <c r="JVO35" s="1035"/>
      <c r="JVP35" s="759"/>
      <c r="JVR35" s="759"/>
      <c r="JVS35" s="759"/>
      <c r="JWA35" s="1035"/>
      <c r="JWB35" s="1035"/>
      <c r="JWC35" s="759"/>
      <c r="JWE35" s="759"/>
      <c r="JWF35" s="759"/>
      <c r="JWN35" s="1035"/>
      <c r="JWO35" s="1035"/>
      <c r="JWP35" s="759"/>
      <c r="JWR35" s="759"/>
      <c r="JWS35" s="759"/>
      <c r="JXA35" s="1035"/>
      <c r="JXB35" s="1035"/>
      <c r="JXC35" s="759"/>
      <c r="JXE35" s="759"/>
      <c r="JXF35" s="759"/>
      <c r="JXN35" s="1035"/>
      <c r="JXO35" s="1035"/>
      <c r="JXP35" s="759"/>
      <c r="JXR35" s="759"/>
      <c r="JXS35" s="759"/>
      <c r="JYA35" s="1035"/>
      <c r="JYB35" s="1035"/>
      <c r="JYC35" s="759"/>
      <c r="JYE35" s="759"/>
      <c r="JYF35" s="759"/>
      <c r="JYN35" s="1035"/>
      <c r="JYO35" s="1035"/>
      <c r="JYP35" s="759"/>
      <c r="JYR35" s="759"/>
      <c r="JYS35" s="759"/>
      <c r="JZA35" s="1035"/>
      <c r="JZB35" s="1035"/>
      <c r="JZC35" s="759"/>
      <c r="JZE35" s="759"/>
      <c r="JZF35" s="759"/>
      <c r="JZN35" s="1035"/>
      <c r="JZO35" s="1035"/>
      <c r="JZP35" s="759"/>
      <c r="JZR35" s="759"/>
      <c r="JZS35" s="759"/>
      <c r="KAA35" s="1035"/>
      <c r="KAB35" s="1035"/>
      <c r="KAC35" s="759"/>
      <c r="KAE35" s="759"/>
      <c r="KAF35" s="759"/>
      <c r="KAN35" s="1035"/>
      <c r="KAO35" s="1035"/>
      <c r="KAP35" s="759"/>
      <c r="KAR35" s="759"/>
      <c r="KAS35" s="759"/>
      <c r="KBA35" s="1035"/>
      <c r="KBB35" s="1035"/>
      <c r="KBC35" s="759"/>
      <c r="KBE35" s="759"/>
      <c r="KBF35" s="759"/>
      <c r="KBN35" s="1035"/>
      <c r="KBO35" s="1035"/>
      <c r="KBP35" s="759"/>
      <c r="KBR35" s="759"/>
      <c r="KBS35" s="759"/>
      <c r="KCA35" s="1035"/>
      <c r="KCB35" s="1035"/>
      <c r="KCC35" s="759"/>
      <c r="KCE35" s="759"/>
      <c r="KCF35" s="759"/>
      <c r="KCN35" s="1035"/>
      <c r="KCO35" s="1035"/>
      <c r="KCP35" s="759"/>
      <c r="KCR35" s="759"/>
      <c r="KCS35" s="759"/>
      <c r="KDA35" s="1035"/>
      <c r="KDB35" s="1035"/>
      <c r="KDC35" s="759"/>
      <c r="KDE35" s="759"/>
      <c r="KDF35" s="759"/>
      <c r="KDN35" s="1035"/>
      <c r="KDO35" s="1035"/>
      <c r="KDP35" s="759"/>
      <c r="KDR35" s="759"/>
      <c r="KDS35" s="759"/>
      <c r="KEA35" s="1035"/>
      <c r="KEB35" s="1035"/>
      <c r="KEC35" s="759"/>
      <c r="KEE35" s="759"/>
      <c r="KEF35" s="759"/>
      <c r="KEN35" s="1035"/>
      <c r="KEO35" s="1035"/>
      <c r="KEP35" s="759"/>
      <c r="KER35" s="759"/>
      <c r="KES35" s="759"/>
      <c r="KFA35" s="1035"/>
      <c r="KFB35" s="1035"/>
      <c r="KFC35" s="759"/>
      <c r="KFE35" s="759"/>
      <c r="KFF35" s="759"/>
      <c r="KFN35" s="1035"/>
      <c r="KFO35" s="1035"/>
      <c r="KFP35" s="759"/>
      <c r="KFR35" s="759"/>
      <c r="KFS35" s="759"/>
      <c r="KGA35" s="1035"/>
      <c r="KGB35" s="1035"/>
      <c r="KGC35" s="759"/>
      <c r="KGE35" s="759"/>
      <c r="KGF35" s="759"/>
      <c r="KGN35" s="1035"/>
      <c r="KGO35" s="1035"/>
      <c r="KGP35" s="759"/>
      <c r="KGR35" s="759"/>
      <c r="KGS35" s="759"/>
      <c r="KHA35" s="1035"/>
      <c r="KHB35" s="1035"/>
      <c r="KHC35" s="759"/>
      <c r="KHE35" s="759"/>
      <c r="KHF35" s="759"/>
      <c r="KHN35" s="1035"/>
      <c r="KHO35" s="1035"/>
      <c r="KHP35" s="759"/>
      <c r="KHR35" s="759"/>
      <c r="KHS35" s="759"/>
      <c r="KIA35" s="1035"/>
      <c r="KIB35" s="1035"/>
      <c r="KIC35" s="759"/>
      <c r="KIE35" s="759"/>
      <c r="KIF35" s="759"/>
      <c r="KIN35" s="1035"/>
      <c r="KIO35" s="1035"/>
      <c r="KIP35" s="759"/>
      <c r="KIR35" s="759"/>
      <c r="KIS35" s="759"/>
      <c r="KJA35" s="1035"/>
      <c r="KJB35" s="1035"/>
      <c r="KJC35" s="759"/>
      <c r="KJE35" s="759"/>
      <c r="KJF35" s="759"/>
      <c r="KJN35" s="1035"/>
      <c r="KJO35" s="1035"/>
      <c r="KJP35" s="759"/>
      <c r="KJR35" s="759"/>
      <c r="KJS35" s="759"/>
      <c r="KKA35" s="1035"/>
      <c r="KKB35" s="1035"/>
      <c r="KKC35" s="759"/>
      <c r="KKE35" s="759"/>
      <c r="KKF35" s="759"/>
      <c r="KKN35" s="1035"/>
      <c r="KKO35" s="1035"/>
      <c r="KKP35" s="759"/>
      <c r="KKR35" s="759"/>
      <c r="KKS35" s="759"/>
      <c r="KLA35" s="1035"/>
      <c r="KLB35" s="1035"/>
      <c r="KLC35" s="759"/>
      <c r="KLE35" s="759"/>
      <c r="KLF35" s="759"/>
      <c r="KLN35" s="1035"/>
      <c r="KLO35" s="1035"/>
      <c r="KLP35" s="759"/>
      <c r="KLR35" s="759"/>
      <c r="KLS35" s="759"/>
      <c r="KMA35" s="1035"/>
      <c r="KMB35" s="1035"/>
      <c r="KMC35" s="759"/>
      <c r="KME35" s="759"/>
      <c r="KMF35" s="759"/>
      <c r="KMN35" s="1035"/>
      <c r="KMO35" s="1035"/>
      <c r="KMP35" s="759"/>
      <c r="KMR35" s="759"/>
      <c r="KMS35" s="759"/>
      <c r="KNA35" s="1035"/>
      <c r="KNB35" s="1035"/>
      <c r="KNC35" s="759"/>
      <c r="KNE35" s="759"/>
      <c r="KNF35" s="759"/>
      <c r="KNN35" s="1035"/>
      <c r="KNO35" s="1035"/>
      <c r="KNP35" s="759"/>
      <c r="KNR35" s="759"/>
      <c r="KNS35" s="759"/>
      <c r="KOA35" s="1035"/>
      <c r="KOB35" s="1035"/>
      <c r="KOC35" s="759"/>
      <c r="KOE35" s="759"/>
      <c r="KOF35" s="759"/>
      <c r="KON35" s="1035"/>
      <c r="KOO35" s="1035"/>
      <c r="KOP35" s="759"/>
      <c r="KOR35" s="759"/>
      <c r="KOS35" s="759"/>
      <c r="KPA35" s="1035"/>
      <c r="KPB35" s="1035"/>
      <c r="KPC35" s="759"/>
      <c r="KPE35" s="759"/>
      <c r="KPF35" s="759"/>
      <c r="KPN35" s="1035"/>
      <c r="KPO35" s="1035"/>
      <c r="KPP35" s="759"/>
      <c r="KPR35" s="759"/>
      <c r="KPS35" s="759"/>
      <c r="KQA35" s="1035"/>
      <c r="KQB35" s="1035"/>
      <c r="KQC35" s="759"/>
      <c r="KQE35" s="759"/>
      <c r="KQF35" s="759"/>
      <c r="KQN35" s="1035"/>
      <c r="KQO35" s="1035"/>
      <c r="KQP35" s="759"/>
      <c r="KQR35" s="759"/>
      <c r="KQS35" s="759"/>
      <c r="KRA35" s="1035"/>
      <c r="KRB35" s="1035"/>
      <c r="KRC35" s="759"/>
      <c r="KRE35" s="759"/>
      <c r="KRF35" s="759"/>
      <c r="KRN35" s="1035"/>
      <c r="KRO35" s="1035"/>
      <c r="KRP35" s="759"/>
      <c r="KRR35" s="759"/>
      <c r="KRS35" s="759"/>
      <c r="KSA35" s="1035"/>
      <c r="KSB35" s="1035"/>
      <c r="KSC35" s="759"/>
      <c r="KSE35" s="759"/>
      <c r="KSF35" s="759"/>
      <c r="KSN35" s="1035"/>
      <c r="KSO35" s="1035"/>
      <c r="KSP35" s="759"/>
      <c r="KSR35" s="759"/>
      <c r="KSS35" s="759"/>
      <c r="KTA35" s="1035"/>
      <c r="KTB35" s="1035"/>
      <c r="KTC35" s="759"/>
      <c r="KTE35" s="759"/>
      <c r="KTF35" s="759"/>
      <c r="KTN35" s="1035"/>
      <c r="KTO35" s="1035"/>
      <c r="KTP35" s="759"/>
      <c r="KTR35" s="759"/>
      <c r="KTS35" s="759"/>
      <c r="KUA35" s="1035"/>
      <c r="KUB35" s="1035"/>
      <c r="KUC35" s="759"/>
      <c r="KUE35" s="759"/>
      <c r="KUF35" s="759"/>
      <c r="KUN35" s="1035"/>
      <c r="KUO35" s="1035"/>
      <c r="KUP35" s="759"/>
      <c r="KUR35" s="759"/>
      <c r="KUS35" s="759"/>
      <c r="KVA35" s="1035"/>
      <c r="KVB35" s="1035"/>
      <c r="KVC35" s="759"/>
      <c r="KVE35" s="759"/>
      <c r="KVF35" s="759"/>
      <c r="KVN35" s="1035"/>
      <c r="KVO35" s="1035"/>
      <c r="KVP35" s="759"/>
      <c r="KVR35" s="759"/>
      <c r="KVS35" s="759"/>
      <c r="KWA35" s="1035"/>
      <c r="KWB35" s="1035"/>
      <c r="KWC35" s="759"/>
      <c r="KWE35" s="759"/>
      <c r="KWF35" s="759"/>
      <c r="KWN35" s="1035"/>
      <c r="KWO35" s="1035"/>
      <c r="KWP35" s="759"/>
      <c r="KWR35" s="759"/>
      <c r="KWS35" s="759"/>
      <c r="KXA35" s="1035"/>
      <c r="KXB35" s="1035"/>
      <c r="KXC35" s="759"/>
      <c r="KXE35" s="759"/>
      <c r="KXF35" s="759"/>
      <c r="KXN35" s="1035"/>
      <c r="KXO35" s="1035"/>
      <c r="KXP35" s="759"/>
      <c r="KXR35" s="759"/>
      <c r="KXS35" s="759"/>
      <c r="KYA35" s="1035"/>
      <c r="KYB35" s="1035"/>
      <c r="KYC35" s="759"/>
      <c r="KYE35" s="759"/>
      <c r="KYF35" s="759"/>
      <c r="KYN35" s="1035"/>
      <c r="KYO35" s="1035"/>
      <c r="KYP35" s="759"/>
      <c r="KYR35" s="759"/>
      <c r="KYS35" s="759"/>
      <c r="KZA35" s="1035"/>
      <c r="KZB35" s="1035"/>
      <c r="KZC35" s="759"/>
      <c r="KZE35" s="759"/>
      <c r="KZF35" s="759"/>
      <c r="KZN35" s="1035"/>
      <c r="KZO35" s="1035"/>
      <c r="KZP35" s="759"/>
      <c r="KZR35" s="759"/>
      <c r="KZS35" s="759"/>
      <c r="LAA35" s="1035"/>
      <c r="LAB35" s="1035"/>
      <c r="LAC35" s="759"/>
      <c r="LAE35" s="759"/>
      <c r="LAF35" s="759"/>
      <c r="LAN35" s="1035"/>
      <c r="LAO35" s="1035"/>
      <c r="LAP35" s="759"/>
      <c r="LAR35" s="759"/>
      <c r="LAS35" s="759"/>
      <c r="LBA35" s="1035"/>
      <c r="LBB35" s="1035"/>
      <c r="LBC35" s="759"/>
      <c r="LBE35" s="759"/>
      <c r="LBF35" s="759"/>
      <c r="LBN35" s="1035"/>
      <c r="LBO35" s="1035"/>
      <c r="LBP35" s="759"/>
      <c r="LBR35" s="759"/>
      <c r="LBS35" s="759"/>
      <c r="LCA35" s="1035"/>
      <c r="LCB35" s="1035"/>
      <c r="LCC35" s="759"/>
      <c r="LCE35" s="759"/>
      <c r="LCF35" s="759"/>
      <c r="LCN35" s="1035"/>
      <c r="LCO35" s="1035"/>
      <c r="LCP35" s="759"/>
      <c r="LCR35" s="759"/>
      <c r="LCS35" s="759"/>
      <c r="LDA35" s="1035"/>
      <c r="LDB35" s="1035"/>
      <c r="LDC35" s="759"/>
      <c r="LDE35" s="759"/>
      <c r="LDF35" s="759"/>
      <c r="LDN35" s="1035"/>
      <c r="LDO35" s="1035"/>
      <c r="LDP35" s="759"/>
      <c r="LDR35" s="759"/>
      <c r="LDS35" s="759"/>
      <c r="LEA35" s="1035"/>
      <c r="LEB35" s="1035"/>
      <c r="LEC35" s="759"/>
      <c r="LEE35" s="759"/>
      <c r="LEF35" s="759"/>
      <c r="LEN35" s="1035"/>
      <c r="LEO35" s="1035"/>
      <c r="LEP35" s="759"/>
      <c r="LER35" s="759"/>
      <c r="LES35" s="759"/>
      <c r="LFA35" s="1035"/>
      <c r="LFB35" s="1035"/>
      <c r="LFC35" s="759"/>
      <c r="LFE35" s="759"/>
      <c r="LFF35" s="759"/>
      <c r="LFN35" s="1035"/>
      <c r="LFO35" s="1035"/>
      <c r="LFP35" s="759"/>
      <c r="LFR35" s="759"/>
      <c r="LFS35" s="759"/>
      <c r="LGA35" s="1035"/>
      <c r="LGB35" s="1035"/>
      <c r="LGC35" s="759"/>
      <c r="LGE35" s="759"/>
      <c r="LGF35" s="759"/>
      <c r="LGN35" s="1035"/>
      <c r="LGO35" s="1035"/>
      <c r="LGP35" s="759"/>
      <c r="LGR35" s="759"/>
      <c r="LGS35" s="759"/>
      <c r="LHA35" s="1035"/>
      <c r="LHB35" s="1035"/>
      <c r="LHC35" s="759"/>
      <c r="LHE35" s="759"/>
      <c r="LHF35" s="759"/>
      <c r="LHN35" s="1035"/>
      <c r="LHO35" s="1035"/>
      <c r="LHP35" s="759"/>
      <c r="LHR35" s="759"/>
      <c r="LHS35" s="759"/>
      <c r="LIA35" s="1035"/>
      <c r="LIB35" s="1035"/>
      <c r="LIC35" s="759"/>
      <c r="LIE35" s="759"/>
      <c r="LIF35" s="759"/>
      <c r="LIN35" s="1035"/>
      <c r="LIO35" s="1035"/>
      <c r="LIP35" s="759"/>
      <c r="LIR35" s="759"/>
      <c r="LIS35" s="759"/>
      <c r="LJA35" s="1035"/>
      <c r="LJB35" s="1035"/>
      <c r="LJC35" s="759"/>
      <c r="LJE35" s="759"/>
      <c r="LJF35" s="759"/>
      <c r="LJN35" s="1035"/>
      <c r="LJO35" s="1035"/>
      <c r="LJP35" s="759"/>
      <c r="LJR35" s="759"/>
      <c r="LJS35" s="759"/>
      <c r="LKA35" s="1035"/>
      <c r="LKB35" s="1035"/>
      <c r="LKC35" s="759"/>
      <c r="LKE35" s="759"/>
      <c r="LKF35" s="759"/>
      <c r="LKN35" s="1035"/>
      <c r="LKO35" s="1035"/>
      <c r="LKP35" s="759"/>
      <c r="LKR35" s="759"/>
      <c r="LKS35" s="759"/>
      <c r="LLA35" s="1035"/>
      <c r="LLB35" s="1035"/>
      <c r="LLC35" s="759"/>
      <c r="LLE35" s="759"/>
      <c r="LLF35" s="759"/>
      <c r="LLN35" s="1035"/>
      <c r="LLO35" s="1035"/>
      <c r="LLP35" s="759"/>
      <c r="LLR35" s="759"/>
      <c r="LLS35" s="759"/>
      <c r="LMA35" s="1035"/>
      <c r="LMB35" s="1035"/>
      <c r="LMC35" s="759"/>
      <c r="LME35" s="759"/>
      <c r="LMF35" s="759"/>
      <c r="LMN35" s="1035"/>
      <c r="LMO35" s="1035"/>
      <c r="LMP35" s="759"/>
      <c r="LMR35" s="759"/>
      <c r="LMS35" s="759"/>
      <c r="LNA35" s="1035"/>
      <c r="LNB35" s="1035"/>
      <c r="LNC35" s="759"/>
      <c r="LNE35" s="759"/>
      <c r="LNF35" s="759"/>
      <c r="LNN35" s="1035"/>
      <c r="LNO35" s="1035"/>
      <c r="LNP35" s="759"/>
      <c r="LNR35" s="759"/>
      <c r="LNS35" s="759"/>
      <c r="LOA35" s="1035"/>
      <c r="LOB35" s="1035"/>
      <c r="LOC35" s="759"/>
      <c r="LOE35" s="759"/>
      <c r="LOF35" s="759"/>
      <c r="LON35" s="1035"/>
      <c r="LOO35" s="1035"/>
      <c r="LOP35" s="759"/>
      <c r="LOR35" s="759"/>
      <c r="LOS35" s="759"/>
      <c r="LPA35" s="1035"/>
      <c r="LPB35" s="1035"/>
      <c r="LPC35" s="759"/>
      <c r="LPE35" s="759"/>
      <c r="LPF35" s="759"/>
      <c r="LPN35" s="1035"/>
      <c r="LPO35" s="1035"/>
      <c r="LPP35" s="759"/>
      <c r="LPR35" s="759"/>
      <c r="LPS35" s="759"/>
      <c r="LQA35" s="1035"/>
      <c r="LQB35" s="1035"/>
      <c r="LQC35" s="759"/>
      <c r="LQE35" s="759"/>
      <c r="LQF35" s="759"/>
      <c r="LQN35" s="1035"/>
      <c r="LQO35" s="1035"/>
      <c r="LQP35" s="759"/>
      <c r="LQR35" s="759"/>
      <c r="LQS35" s="759"/>
      <c r="LRA35" s="1035"/>
      <c r="LRB35" s="1035"/>
      <c r="LRC35" s="759"/>
      <c r="LRE35" s="759"/>
      <c r="LRF35" s="759"/>
      <c r="LRN35" s="1035"/>
      <c r="LRO35" s="1035"/>
      <c r="LRP35" s="759"/>
      <c r="LRR35" s="759"/>
      <c r="LRS35" s="759"/>
      <c r="LSA35" s="1035"/>
      <c r="LSB35" s="1035"/>
      <c r="LSC35" s="759"/>
      <c r="LSE35" s="759"/>
      <c r="LSF35" s="759"/>
      <c r="LSN35" s="1035"/>
      <c r="LSO35" s="1035"/>
      <c r="LSP35" s="759"/>
      <c r="LSR35" s="759"/>
      <c r="LSS35" s="759"/>
      <c r="LTA35" s="1035"/>
      <c r="LTB35" s="1035"/>
      <c r="LTC35" s="759"/>
      <c r="LTE35" s="759"/>
      <c r="LTF35" s="759"/>
      <c r="LTN35" s="1035"/>
      <c r="LTO35" s="1035"/>
      <c r="LTP35" s="759"/>
      <c r="LTR35" s="759"/>
      <c r="LTS35" s="759"/>
      <c r="LUA35" s="1035"/>
      <c r="LUB35" s="1035"/>
      <c r="LUC35" s="759"/>
      <c r="LUE35" s="759"/>
      <c r="LUF35" s="759"/>
      <c r="LUN35" s="1035"/>
      <c r="LUO35" s="1035"/>
      <c r="LUP35" s="759"/>
      <c r="LUR35" s="759"/>
      <c r="LUS35" s="759"/>
      <c r="LVA35" s="1035"/>
      <c r="LVB35" s="1035"/>
      <c r="LVC35" s="759"/>
      <c r="LVE35" s="759"/>
      <c r="LVF35" s="759"/>
      <c r="LVN35" s="1035"/>
      <c r="LVO35" s="1035"/>
      <c r="LVP35" s="759"/>
      <c r="LVR35" s="759"/>
      <c r="LVS35" s="759"/>
      <c r="LWA35" s="1035"/>
      <c r="LWB35" s="1035"/>
      <c r="LWC35" s="759"/>
      <c r="LWE35" s="759"/>
      <c r="LWF35" s="759"/>
      <c r="LWN35" s="1035"/>
      <c r="LWO35" s="1035"/>
      <c r="LWP35" s="759"/>
      <c r="LWR35" s="759"/>
      <c r="LWS35" s="759"/>
      <c r="LXA35" s="1035"/>
      <c r="LXB35" s="1035"/>
      <c r="LXC35" s="759"/>
      <c r="LXE35" s="759"/>
      <c r="LXF35" s="759"/>
      <c r="LXN35" s="1035"/>
      <c r="LXO35" s="1035"/>
      <c r="LXP35" s="759"/>
      <c r="LXR35" s="759"/>
      <c r="LXS35" s="759"/>
      <c r="LYA35" s="1035"/>
      <c r="LYB35" s="1035"/>
      <c r="LYC35" s="759"/>
      <c r="LYE35" s="759"/>
      <c r="LYF35" s="759"/>
      <c r="LYN35" s="1035"/>
      <c r="LYO35" s="1035"/>
      <c r="LYP35" s="759"/>
      <c r="LYR35" s="759"/>
      <c r="LYS35" s="759"/>
      <c r="LZA35" s="1035"/>
      <c r="LZB35" s="1035"/>
      <c r="LZC35" s="759"/>
      <c r="LZE35" s="759"/>
      <c r="LZF35" s="759"/>
      <c r="LZN35" s="1035"/>
      <c r="LZO35" s="1035"/>
      <c r="LZP35" s="759"/>
      <c r="LZR35" s="759"/>
      <c r="LZS35" s="759"/>
      <c r="MAA35" s="1035"/>
      <c r="MAB35" s="1035"/>
      <c r="MAC35" s="759"/>
      <c r="MAE35" s="759"/>
      <c r="MAF35" s="759"/>
      <c r="MAN35" s="1035"/>
      <c r="MAO35" s="1035"/>
      <c r="MAP35" s="759"/>
      <c r="MAR35" s="759"/>
      <c r="MAS35" s="759"/>
      <c r="MBA35" s="1035"/>
      <c r="MBB35" s="1035"/>
      <c r="MBC35" s="759"/>
      <c r="MBE35" s="759"/>
      <c r="MBF35" s="759"/>
      <c r="MBN35" s="1035"/>
      <c r="MBO35" s="1035"/>
      <c r="MBP35" s="759"/>
      <c r="MBR35" s="759"/>
      <c r="MBS35" s="759"/>
      <c r="MCA35" s="1035"/>
      <c r="MCB35" s="1035"/>
      <c r="MCC35" s="759"/>
      <c r="MCE35" s="759"/>
      <c r="MCF35" s="759"/>
      <c r="MCN35" s="1035"/>
      <c r="MCO35" s="1035"/>
      <c r="MCP35" s="759"/>
      <c r="MCR35" s="759"/>
      <c r="MCS35" s="759"/>
      <c r="MDA35" s="1035"/>
      <c r="MDB35" s="1035"/>
      <c r="MDC35" s="759"/>
      <c r="MDE35" s="759"/>
      <c r="MDF35" s="759"/>
      <c r="MDN35" s="1035"/>
      <c r="MDO35" s="1035"/>
      <c r="MDP35" s="759"/>
      <c r="MDR35" s="759"/>
      <c r="MDS35" s="759"/>
      <c r="MEA35" s="1035"/>
      <c r="MEB35" s="1035"/>
      <c r="MEC35" s="759"/>
      <c r="MEE35" s="759"/>
      <c r="MEF35" s="759"/>
      <c r="MEN35" s="1035"/>
      <c r="MEO35" s="1035"/>
      <c r="MEP35" s="759"/>
      <c r="MER35" s="759"/>
      <c r="MES35" s="759"/>
      <c r="MFA35" s="1035"/>
      <c r="MFB35" s="1035"/>
      <c r="MFC35" s="759"/>
      <c r="MFE35" s="759"/>
      <c r="MFF35" s="759"/>
      <c r="MFN35" s="1035"/>
      <c r="MFO35" s="1035"/>
      <c r="MFP35" s="759"/>
      <c r="MFR35" s="759"/>
      <c r="MFS35" s="759"/>
      <c r="MGA35" s="1035"/>
      <c r="MGB35" s="1035"/>
      <c r="MGC35" s="759"/>
      <c r="MGE35" s="759"/>
      <c r="MGF35" s="759"/>
      <c r="MGN35" s="1035"/>
      <c r="MGO35" s="1035"/>
      <c r="MGP35" s="759"/>
      <c r="MGR35" s="759"/>
      <c r="MGS35" s="759"/>
      <c r="MHA35" s="1035"/>
      <c r="MHB35" s="1035"/>
      <c r="MHC35" s="759"/>
      <c r="MHE35" s="759"/>
      <c r="MHF35" s="759"/>
      <c r="MHN35" s="1035"/>
      <c r="MHO35" s="1035"/>
      <c r="MHP35" s="759"/>
      <c r="MHR35" s="759"/>
      <c r="MHS35" s="759"/>
      <c r="MIA35" s="1035"/>
      <c r="MIB35" s="1035"/>
      <c r="MIC35" s="759"/>
      <c r="MIE35" s="759"/>
      <c r="MIF35" s="759"/>
      <c r="MIN35" s="1035"/>
      <c r="MIO35" s="1035"/>
      <c r="MIP35" s="759"/>
      <c r="MIR35" s="759"/>
      <c r="MIS35" s="759"/>
      <c r="MJA35" s="1035"/>
      <c r="MJB35" s="1035"/>
      <c r="MJC35" s="759"/>
      <c r="MJE35" s="759"/>
      <c r="MJF35" s="759"/>
      <c r="MJN35" s="1035"/>
      <c r="MJO35" s="1035"/>
      <c r="MJP35" s="759"/>
      <c r="MJR35" s="759"/>
      <c r="MJS35" s="759"/>
      <c r="MKA35" s="1035"/>
      <c r="MKB35" s="1035"/>
      <c r="MKC35" s="759"/>
      <c r="MKE35" s="759"/>
      <c r="MKF35" s="759"/>
      <c r="MKN35" s="1035"/>
      <c r="MKO35" s="1035"/>
      <c r="MKP35" s="759"/>
      <c r="MKR35" s="759"/>
      <c r="MKS35" s="759"/>
      <c r="MLA35" s="1035"/>
      <c r="MLB35" s="1035"/>
      <c r="MLC35" s="759"/>
      <c r="MLE35" s="759"/>
      <c r="MLF35" s="759"/>
      <c r="MLN35" s="1035"/>
      <c r="MLO35" s="1035"/>
      <c r="MLP35" s="759"/>
      <c r="MLR35" s="759"/>
      <c r="MLS35" s="759"/>
      <c r="MMA35" s="1035"/>
      <c r="MMB35" s="1035"/>
      <c r="MMC35" s="759"/>
      <c r="MME35" s="759"/>
      <c r="MMF35" s="759"/>
      <c r="MMN35" s="1035"/>
      <c r="MMO35" s="1035"/>
      <c r="MMP35" s="759"/>
      <c r="MMR35" s="759"/>
      <c r="MMS35" s="759"/>
      <c r="MNA35" s="1035"/>
      <c r="MNB35" s="1035"/>
      <c r="MNC35" s="759"/>
      <c r="MNE35" s="759"/>
      <c r="MNF35" s="759"/>
      <c r="MNN35" s="1035"/>
      <c r="MNO35" s="1035"/>
      <c r="MNP35" s="759"/>
      <c r="MNR35" s="759"/>
      <c r="MNS35" s="759"/>
      <c r="MOA35" s="1035"/>
      <c r="MOB35" s="1035"/>
      <c r="MOC35" s="759"/>
      <c r="MOE35" s="759"/>
      <c r="MOF35" s="759"/>
      <c r="MON35" s="1035"/>
      <c r="MOO35" s="1035"/>
      <c r="MOP35" s="759"/>
      <c r="MOR35" s="759"/>
      <c r="MOS35" s="759"/>
      <c r="MPA35" s="1035"/>
      <c r="MPB35" s="1035"/>
      <c r="MPC35" s="759"/>
      <c r="MPE35" s="759"/>
      <c r="MPF35" s="759"/>
      <c r="MPN35" s="1035"/>
      <c r="MPO35" s="1035"/>
      <c r="MPP35" s="759"/>
      <c r="MPR35" s="759"/>
      <c r="MPS35" s="759"/>
      <c r="MQA35" s="1035"/>
      <c r="MQB35" s="1035"/>
      <c r="MQC35" s="759"/>
      <c r="MQE35" s="759"/>
      <c r="MQF35" s="759"/>
      <c r="MQN35" s="1035"/>
      <c r="MQO35" s="1035"/>
      <c r="MQP35" s="759"/>
      <c r="MQR35" s="759"/>
      <c r="MQS35" s="759"/>
      <c r="MRA35" s="1035"/>
      <c r="MRB35" s="1035"/>
      <c r="MRC35" s="759"/>
      <c r="MRE35" s="759"/>
      <c r="MRF35" s="759"/>
      <c r="MRN35" s="1035"/>
      <c r="MRO35" s="1035"/>
      <c r="MRP35" s="759"/>
      <c r="MRR35" s="759"/>
      <c r="MRS35" s="759"/>
      <c r="MSA35" s="1035"/>
      <c r="MSB35" s="1035"/>
      <c r="MSC35" s="759"/>
      <c r="MSE35" s="759"/>
      <c r="MSF35" s="759"/>
      <c r="MSN35" s="1035"/>
      <c r="MSO35" s="1035"/>
      <c r="MSP35" s="759"/>
      <c r="MSR35" s="759"/>
      <c r="MSS35" s="759"/>
      <c r="MTA35" s="1035"/>
      <c r="MTB35" s="1035"/>
      <c r="MTC35" s="759"/>
      <c r="MTE35" s="759"/>
      <c r="MTF35" s="759"/>
      <c r="MTN35" s="1035"/>
      <c r="MTO35" s="1035"/>
      <c r="MTP35" s="759"/>
      <c r="MTR35" s="759"/>
      <c r="MTS35" s="759"/>
      <c r="MUA35" s="1035"/>
      <c r="MUB35" s="1035"/>
      <c r="MUC35" s="759"/>
      <c r="MUE35" s="759"/>
      <c r="MUF35" s="759"/>
      <c r="MUN35" s="1035"/>
      <c r="MUO35" s="1035"/>
      <c r="MUP35" s="759"/>
      <c r="MUR35" s="759"/>
      <c r="MUS35" s="759"/>
      <c r="MVA35" s="1035"/>
      <c r="MVB35" s="1035"/>
      <c r="MVC35" s="759"/>
      <c r="MVE35" s="759"/>
      <c r="MVF35" s="759"/>
      <c r="MVN35" s="1035"/>
      <c r="MVO35" s="1035"/>
      <c r="MVP35" s="759"/>
      <c r="MVR35" s="759"/>
      <c r="MVS35" s="759"/>
      <c r="MWA35" s="1035"/>
      <c r="MWB35" s="1035"/>
      <c r="MWC35" s="759"/>
      <c r="MWE35" s="759"/>
      <c r="MWF35" s="759"/>
      <c r="MWN35" s="1035"/>
      <c r="MWO35" s="1035"/>
      <c r="MWP35" s="759"/>
      <c r="MWR35" s="759"/>
      <c r="MWS35" s="759"/>
      <c r="MXA35" s="1035"/>
      <c r="MXB35" s="1035"/>
      <c r="MXC35" s="759"/>
      <c r="MXE35" s="759"/>
      <c r="MXF35" s="759"/>
      <c r="MXN35" s="1035"/>
      <c r="MXO35" s="1035"/>
      <c r="MXP35" s="759"/>
      <c r="MXR35" s="759"/>
      <c r="MXS35" s="759"/>
      <c r="MYA35" s="1035"/>
      <c r="MYB35" s="1035"/>
      <c r="MYC35" s="759"/>
      <c r="MYE35" s="759"/>
      <c r="MYF35" s="759"/>
      <c r="MYN35" s="1035"/>
      <c r="MYO35" s="1035"/>
      <c r="MYP35" s="759"/>
      <c r="MYR35" s="759"/>
      <c r="MYS35" s="759"/>
      <c r="MZA35" s="1035"/>
      <c r="MZB35" s="1035"/>
      <c r="MZC35" s="759"/>
      <c r="MZE35" s="759"/>
      <c r="MZF35" s="759"/>
      <c r="MZN35" s="1035"/>
      <c r="MZO35" s="1035"/>
      <c r="MZP35" s="759"/>
      <c r="MZR35" s="759"/>
      <c r="MZS35" s="759"/>
      <c r="NAA35" s="1035"/>
      <c r="NAB35" s="1035"/>
      <c r="NAC35" s="759"/>
      <c r="NAE35" s="759"/>
      <c r="NAF35" s="759"/>
      <c r="NAN35" s="1035"/>
      <c r="NAO35" s="1035"/>
      <c r="NAP35" s="759"/>
      <c r="NAR35" s="759"/>
      <c r="NAS35" s="759"/>
      <c r="NBA35" s="1035"/>
      <c r="NBB35" s="1035"/>
      <c r="NBC35" s="759"/>
      <c r="NBE35" s="759"/>
      <c r="NBF35" s="759"/>
      <c r="NBN35" s="1035"/>
      <c r="NBO35" s="1035"/>
      <c r="NBP35" s="759"/>
      <c r="NBR35" s="759"/>
      <c r="NBS35" s="759"/>
      <c r="NCA35" s="1035"/>
      <c r="NCB35" s="1035"/>
      <c r="NCC35" s="759"/>
      <c r="NCE35" s="759"/>
      <c r="NCF35" s="759"/>
      <c r="NCN35" s="1035"/>
      <c r="NCO35" s="1035"/>
      <c r="NCP35" s="759"/>
      <c r="NCR35" s="759"/>
      <c r="NCS35" s="759"/>
      <c r="NDA35" s="1035"/>
      <c r="NDB35" s="1035"/>
      <c r="NDC35" s="759"/>
      <c r="NDE35" s="759"/>
      <c r="NDF35" s="759"/>
      <c r="NDN35" s="1035"/>
      <c r="NDO35" s="1035"/>
      <c r="NDP35" s="759"/>
      <c r="NDR35" s="759"/>
      <c r="NDS35" s="759"/>
      <c r="NEA35" s="1035"/>
      <c r="NEB35" s="1035"/>
      <c r="NEC35" s="759"/>
      <c r="NEE35" s="759"/>
      <c r="NEF35" s="759"/>
      <c r="NEN35" s="1035"/>
      <c r="NEO35" s="1035"/>
      <c r="NEP35" s="759"/>
      <c r="NER35" s="759"/>
      <c r="NES35" s="759"/>
      <c r="NFA35" s="1035"/>
      <c r="NFB35" s="1035"/>
      <c r="NFC35" s="759"/>
      <c r="NFE35" s="759"/>
      <c r="NFF35" s="759"/>
      <c r="NFN35" s="1035"/>
      <c r="NFO35" s="1035"/>
      <c r="NFP35" s="759"/>
      <c r="NFR35" s="759"/>
      <c r="NFS35" s="759"/>
      <c r="NGA35" s="1035"/>
      <c r="NGB35" s="1035"/>
      <c r="NGC35" s="759"/>
      <c r="NGE35" s="759"/>
      <c r="NGF35" s="759"/>
      <c r="NGN35" s="1035"/>
      <c r="NGO35" s="1035"/>
      <c r="NGP35" s="759"/>
      <c r="NGR35" s="759"/>
      <c r="NGS35" s="759"/>
      <c r="NHA35" s="1035"/>
      <c r="NHB35" s="1035"/>
      <c r="NHC35" s="759"/>
      <c r="NHE35" s="759"/>
      <c r="NHF35" s="759"/>
      <c r="NHN35" s="1035"/>
      <c r="NHO35" s="1035"/>
      <c r="NHP35" s="759"/>
      <c r="NHR35" s="759"/>
      <c r="NHS35" s="759"/>
      <c r="NIA35" s="1035"/>
      <c r="NIB35" s="1035"/>
      <c r="NIC35" s="759"/>
      <c r="NIE35" s="759"/>
      <c r="NIF35" s="759"/>
      <c r="NIN35" s="1035"/>
      <c r="NIO35" s="1035"/>
      <c r="NIP35" s="759"/>
      <c r="NIR35" s="759"/>
      <c r="NIS35" s="759"/>
      <c r="NJA35" s="1035"/>
      <c r="NJB35" s="1035"/>
      <c r="NJC35" s="759"/>
      <c r="NJE35" s="759"/>
      <c r="NJF35" s="759"/>
      <c r="NJN35" s="1035"/>
      <c r="NJO35" s="1035"/>
      <c r="NJP35" s="759"/>
      <c r="NJR35" s="759"/>
      <c r="NJS35" s="759"/>
      <c r="NKA35" s="1035"/>
      <c r="NKB35" s="1035"/>
      <c r="NKC35" s="759"/>
      <c r="NKE35" s="759"/>
      <c r="NKF35" s="759"/>
      <c r="NKN35" s="1035"/>
      <c r="NKO35" s="1035"/>
      <c r="NKP35" s="759"/>
      <c r="NKR35" s="759"/>
      <c r="NKS35" s="759"/>
      <c r="NLA35" s="1035"/>
      <c r="NLB35" s="1035"/>
      <c r="NLC35" s="759"/>
      <c r="NLE35" s="759"/>
      <c r="NLF35" s="759"/>
      <c r="NLN35" s="1035"/>
      <c r="NLO35" s="1035"/>
      <c r="NLP35" s="759"/>
      <c r="NLR35" s="759"/>
      <c r="NLS35" s="759"/>
      <c r="NMA35" s="1035"/>
      <c r="NMB35" s="1035"/>
      <c r="NMC35" s="759"/>
      <c r="NME35" s="759"/>
      <c r="NMF35" s="759"/>
      <c r="NMN35" s="1035"/>
      <c r="NMO35" s="1035"/>
      <c r="NMP35" s="759"/>
      <c r="NMR35" s="759"/>
      <c r="NMS35" s="759"/>
      <c r="NNA35" s="1035"/>
      <c r="NNB35" s="1035"/>
      <c r="NNC35" s="759"/>
      <c r="NNE35" s="759"/>
      <c r="NNF35" s="759"/>
      <c r="NNN35" s="1035"/>
      <c r="NNO35" s="1035"/>
      <c r="NNP35" s="759"/>
      <c r="NNR35" s="759"/>
      <c r="NNS35" s="759"/>
      <c r="NOA35" s="1035"/>
      <c r="NOB35" s="1035"/>
      <c r="NOC35" s="759"/>
      <c r="NOE35" s="759"/>
      <c r="NOF35" s="759"/>
      <c r="NON35" s="1035"/>
      <c r="NOO35" s="1035"/>
      <c r="NOP35" s="759"/>
      <c r="NOR35" s="759"/>
      <c r="NOS35" s="759"/>
      <c r="NPA35" s="1035"/>
      <c r="NPB35" s="1035"/>
      <c r="NPC35" s="759"/>
      <c r="NPE35" s="759"/>
      <c r="NPF35" s="759"/>
      <c r="NPN35" s="1035"/>
      <c r="NPO35" s="1035"/>
      <c r="NPP35" s="759"/>
      <c r="NPR35" s="759"/>
      <c r="NPS35" s="759"/>
      <c r="NQA35" s="1035"/>
      <c r="NQB35" s="1035"/>
      <c r="NQC35" s="759"/>
      <c r="NQE35" s="759"/>
      <c r="NQF35" s="759"/>
      <c r="NQN35" s="1035"/>
      <c r="NQO35" s="1035"/>
      <c r="NQP35" s="759"/>
      <c r="NQR35" s="759"/>
      <c r="NQS35" s="759"/>
      <c r="NRA35" s="1035"/>
      <c r="NRB35" s="1035"/>
      <c r="NRC35" s="759"/>
      <c r="NRE35" s="759"/>
      <c r="NRF35" s="759"/>
      <c r="NRN35" s="1035"/>
      <c r="NRO35" s="1035"/>
      <c r="NRP35" s="759"/>
      <c r="NRR35" s="759"/>
      <c r="NRS35" s="759"/>
      <c r="NSA35" s="1035"/>
      <c r="NSB35" s="1035"/>
      <c r="NSC35" s="759"/>
      <c r="NSE35" s="759"/>
      <c r="NSF35" s="759"/>
      <c r="NSN35" s="1035"/>
      <c r="NSO35" s="1035"/>
      <c r="NSP35" s="759"/>
      <c r="NSR35" s="759"/>
      <c r="NSS35" s="759"/>
      <c r="NTA35" s="1035"/>
      <c r="NTB35" s="1035"/>
      <c r="NTC35" s="759"/>
      <c r="NTE35" s="759"/>
      <c r="NTF35" s="759"/>
      <c r="NTN35" s="1035"/>
      <c r="NTO35" s="1035"/>
      <c r="NTP35" s="759"/>
      <c r="NTR35" s="759"/>
      <c r="NTS35" s="759"/>
      <c r="NUA35" s="1035"/>
      <c r="NUB35" s="1035"/>
      <c r="NUC35" s="759"/>
      <c r="NUE35" s="759"/>
      <c r="NUF35" s="759"/>
      <c r="NUN35" s="1035"/>
      <c r="NUO35" s="1035"/>
      <c r="NUP35" s="759"/>
      <c r="NUR35" s="759"/>
      <c r="NUS35" s="759"/>
      <c r="NVA35" s="1035"/>
      <c r="NVB35" s="1035"/>
      <c r="NVC35" s="759"/>
      <c r="NVE35" s="759"/>
      <c r="NVF35" s="759"/>
      <c r="NVN35" s="1035"/>
      <c r="NVO35" s="1035"/>
      <c r="NVP35" s="759"/>
      <c r="NVR35" s="759"/>
      <c r="NVS35" s="759"/>
      <c r="NWA35" s="1035"/>
      <c r="NWB35" s="1035"/>
      <c r="NWC35" s="759"/>
      <c r="NWE35" s="759"/>
      <c r="NWF35" s="759"/>
      <c r="NWN35" s="1035"/>
      <c r="NWO35" s="1035"/>
      <c r="NWP35" s="759"/>
      <c r="NWR35" s="759"/>
      <c r="NWS35" s="759"/>
      <c r="NXA35" s="1035"/>
      <c r="NXB35" s="1035"/>
      <c r="NXC35" s="759"/>
      <c r="NXE35" s="759"/>
      <c r="NXF35" s="759"/>
      <c r="NXN35" s="1035"/>
      <c r="NXO35" s="1035"/>
      <c r="NXP35" s="759"/>
      <c r="NXR35" s="759"/>
      <c r="NXS35" s="759"/>
      <c r="NYA35" s="1035"/>
      <c r="NYB35" s="1035"/>
      <c r="NYC35" s="759"/>
      <c r="NYE35" s="759"/>
      <c r="NYF35" s="759"/>
      <c r="NYN35" s="1035"/>
      <c r="NYO35" s="1035"/>
      <c r="NYP35" s="759"/>
      <c r="NYR35" s="759"/>
      <c r="NYS35" s="759"/>
      <c r="NZA35" s="1035"/>
      <c r="NZB35" s="1035"/>
      <c r="NZC35" s="759"/>
      <c r="NZE35" s="759"/>
      <c r="NZF35" s="759"/>
      <c r="NZN35" s="1035"/>
      <c r="NZO35" s="1035"/>
      <c r="NZP35" s="759"/>
      <c r="NZR35" s="759"/>
      <c r="NZS35" s="759"/>
      <c r="OAA35" s="1035"/>
      <c r="OAB35" s="1035"/>
      <c r="OAC35" s="759"/>
      <c r="OAE35" s="759"/>
      <c r="OAF35" s="759"/>
      <c r="OAN35" s="1035"/>
      <c r="OAO35" s="1035"/>
      <c r="OAP35" s="759"/>
      <c r="OAR35" s="759"/>
      <c r="OAS35" s="759"/>
      <c r="OBA35" s="1035"/>
      <c r="OBB35" s="1035"/>
      <c r="OBC35" s="759"/>
      <c r="OBE35" s="759"/>
      <c r="OBF35" s="759"/>
      <c r="OBN35" s="1035"/>
      <c r="OBO35" s="1035"/>
      <c r="OBP35" s="759"/>
      <c r="OBR35" s="759"/>
      <c r="OBS35" s="759"/>
      <c r="OCA35" s="1035"/>
      <c r="OCB35" s="1035"/>
      <c r="OCC35" s="759"/>
      <c r="OCE35" s="759"/>
      <c r="OCF35" s="759"/>
      <c r="OCN35" s="1035"/>
      <c r="OCO35" s="1035"/>
      <c r="OCP35" s="759"/>
      <c r="OCR35" s="759"/>
      <c r="OCS35" s="759"/>
      <c r="ODA35" s="1035"/>
      <c r="ODB35" s="1035"/>
      <c r="ODC35" s="759"/>
      <c r="ODE35" s="759"/>
      <c r="ODF35" s="759"/>
      <c r="ODN35" s="1035"/>
      <c r="ODO35" s="1035"/>
      <c r="ODP35" s="759"/>
      <c r="ODR35" s="759"/>
      <c r="ODS35" s="759"/>
      <c r="OEA35" s="1035"/>
      <c r="OEB35" s="1035"/>
      <c r="OEC35" s="759"/>
      <c r="OEE35" s="759"/>
      <c r="OEF35" s="759"/>
      <c r="OEN35" s="1035"/>
      <c r="OEO35" s="1035"/>
      <c r="OEP35" s="759"/>
      <c r="OER35" s="759"/>
      <c r="OES35" s="759"/>
      <c r="OFA35" s="1035"/>
      <c r="OFB35" s="1035"/>
      <c r="OFC35" s="759"/>
      <c r="OFE35" s="759"/>
      <c r="OFF35" s="759"/>
      <c r="OFN35" s="1035"/>
      <c r="OFO35" s="1035"/>
      <c r="OFP35" s="759"/>
      <c r="OFR35" s="759"/>
      <c r="OFS35" s="759"/>
      <c r="OGA35" s="1035"/>
      <c r="OGB35" s="1035"/>
      <c r="OGC35" s="759"/>
      <c r="OGE35" s="759"/>
      <c r="OGF35" s="759"/>
      <c r="OGN35" s="1035"/>
      <c r="OGO35" s="1035"/>
      <c r="OGP35" s="759"/>
      <c r="OGR35" s="759"/>
      <c r="OGS35" s="759"/>
      <c r="OHA35" s="1035"/>
      <c r="OHB35" s="1035"/>
      <c r="OHC35" s="759"/>
      <c r="OHE35" s="759"/>
      <c r="OHF35" s="759"/>
      <c r="OHN35" s="1035"/>
      <c r="OHO35" s="1035"/>
      <c r="OHP35" s="759"/>
      <c r="OHR35" s="759"/>
      <c r="OHS35" s="759"/>
      <c r="OIA35" s="1035"/>
      <c r="OIB35" s="1035"/>
      <c r="OIC35" s="759"/>
      <c r="OIE35" s="759"/>
      <c r="OIF35" s="759"/>
      <c r="OIN35" s="1035"/>
      <c r="OIO35" s="1035"/>
      <c r="OIP35" s="759"/>
      <c r="OIR35" s="759"/>
      <c r="OIS35" s="759"/>
      <c r="OJA35" s="1035"/>
      <c r="OJB35" s="1035"/>
      <c r="OJC35" s="759"/>
      <c r="OJE35" s="759"/>
      <c r="OJF35" s="759"/>
      <c r="OJN35" s="1035"/>
      <c r="OJO35" s="1035"/>
      <c r="OJP35" s="759"/>
      <c r="OJR35" s="759"/>
      <c r="OJS35" s="759"/>
      <c r="OKA35" s="1035"/>
      <c r="OKB35" s="1035"/>
      <c r="OKC35" s="759"/>
      <c r="OKE35" s="759"/>
      <c r="OKF35" s="759"/>
      <c r="OKN35" s="1035"/>
      <c r="OKO35" s="1035"/>
      <c r="OKP35" s="759"/>
      <c r="OKR35" s="759"/>
      <c r="OKS35" s="759"/>
      <c r="OLA35" s="1035"/>
      <c r="OLB35" s="1035"/>
      <c r="OLC35" s="759"/>
      <c r="OLE35" s="759"/>
      <c r="OLF35" s="759"/>
      <c r="OLN35" s="1035"/>
      <c r="OLO35" s="1035"/>
      <c r="OLP35" s="759"/>
      <c r="OLR35" s="759"/>
      <c r="OLS35" s="759"/>
      <c r="OMA35" s="1035"/>
      <c r="OMB35" s="1035"/>
      <c r="OMC35" s="759"/>
      <c r="OME35" s="759"/>
      <c r="OMF35" s="759"/>
      <c r="OMN35" s="1035"/>
      <c r="OMO35" s="1035"/>
      <c r="OMP35" s="759"/>
      <c r="OMR35" s="759"/>
      <c r="OMS35" s="759"/>
      <c r="ONA35" s="1035"/>
      <c r="ONB35" s="1035"/>
      <c r="ONC35" s="759"/>
      <c r="ONE35" s="759"/>
      <c r="ONF35" s="759"/>
      <c r="ONN35" s="1035"/>
      <c r="ONO35" s="1035"/>
      <c r="ONP35" s="759"/>
      <c r="ONR35" s="759"/>
      <c r="ONS35" s="759"/>
      <c r="OOA35" s="1035"/>
      <c r="OOB35" s="1035"/>
      <c r="OOC35" s="759"/>
      <c r="OOE35" s="759"/>
      <c r="OOF35" s="759"/>
      <c r="OON35" s="1035"/>
      <c r="OOO35" s="1035"/>
      <c r="OOP35" s="759"/>
      <c r="OOR35" s="759"/>
      <c r="OOS35" s="759"/>
      <c r="OPA35" s="1035"/>
      <c r="OPB35" s="1035"/>
      <c r="OPC35" s="759"/>
      <c r="OPE35" s="759"/>
      <c r="OPF35" s="759"/>
      <c r="OPN35" s="1035"/>
      <c r="OPO35" s="1035"/>
      <c r="OPP35" s="759"/>
      <c r="OPR35" s="759"/>
      <c r="OPS35" s="759"/>
      <c r="OQA35" s="1035"/>
      <c r="OQB35" s="1035"/>
      <c r="OQC35" s="759"/>
      <c r="OQE35" s="759"/>
      <c r="OQF35" s="759"/>
      <c r="OQN35" s="1035"/>
      <c r="OQO35" s="1035"/>
      <c r="OQP35" s="759"/>
      <c r="OQR35" s="759"/>
      <c r="OQS35" s="759"/>
      <c r="ORA35" s="1035"/>
      <c r="ORB35" s="1035"/>
      <c r="ORC35" s="759"/>
      <c r="ORE35" s="759"/>
      <c r="ORF35" s="759"/>
      <c r="ORN35" s="1035"/>
      <c r="ORO35" s="1035"/>
      <c r="ORP35" s="759"/>
      <c r="ORR35" s="759"/>
      <c r="ORS35" s="759"/>
      <c r="OSA35" s="1035"/>
      <c r="OSB35" s="1035"/>
      <c r="OSC35" s="759"/>
      <c r="OSE35" s="759"/>
      <c r="OSF35" s="759"/>
      <c r="OSN35" s="1035"/>
      <c r="OSO35" s="1035"/>
      <c r="OSP35" s="759"/>
      <c r="OSR35" s="759"/>
      <c r="OSS35" s="759"/>
      <c r="OTA35" s="1035"/>
      <c r="OTB35" s="1035"/>
      <c r="OTC35" s="759"/>
      <c r="OTE35" s="759"/>
      <c r="OTF35" s="759"/>
      <c r="OTN35" s="1035"/>
      <c r="OTO35" s="1035"/>
      <c r="OTP35" s="759"/>
      <c r="OTR35" s="759"/>
      <c r="OTS35" s="759"/>
      <c r="OUA35" s="1035"/>
      <c r="OUB35" s="1035"/>
      <c r="OUC35" s="759"/>
      <c r="OUE35" s="759"/>
      <c r="OUF35" s="759"/>
      <c r="OUN35" s="1035"/>
      <c r="OUO35" s="1035"/>
      <c r="OUP35" s="759"/>
      <c r="OUR35" s="759"/>
      <c r="OUS35" s="759"/>
      <c r="OVA35" s="1035"/>
      <c r="OVB35" s="1035"/>
      <c r="OVC35" s="759"/>
      <c r="OVE35" s="759"/>
      <c r="OVF35" s="759"/>
      <c r="OVN35" s="1035"/>
      <c r="OVO35" s="1035"/>
      <c r="OVP35" s="759"/>
      <c r="OVR35" s="759"/>
      <c r="OVS35" s="759"/>
      <c r="OWA35" s="1035"/>
      <c r="OWB35" s="1035"/>
      <c r="OWC35" s="759"/>
      <c r="OWE35" s="759"/>
      <c r="OWF35" s="759"/>
      <c r="OWN35" s="1035"/>
      <c r="OWO35" s="1035"/>
      <c r="OWP35" s="759"/>
      <c r="OWR35" s="759"/>
      <c r="OWS35" s="759"/>
      <c r="OXA35" s="1035"/>
      <c r="OXB35" s="1035"/>
      <c r="OXC35" s="759"/>
      <c r="OXE35" s="759"/>
      <c r="OXF35" s="759"/>
      <c r="OXN35" s="1035"/>
      <c r="OXO35" s="1035"/>
      <c r="OXP35" s="759"/>
      <c r="OXR35" s="759"/>
      <c r="OXS35" s="759"/>
      <c r="OYA35" s="1035"/>
      <c r="OYB35" s="1035"/>
      <c r="OYC35" s="759"/>
      <c r="OYE35" s="759"/>
      <c r="OYF35" s="759"/>
      <c r="OYN35" s="1035"/>
      <c r="OYO35" s="1035"/>
      <c r="OYP35" s="759"/>
      <c r="OYR35" s="759"/>
      <c r="OYS35" s="759"/>
      <c r="OZA35" s="1035"/>
      <c r="OZB35" s="1035"/>
      <c r="OZC35" s="759"/>
      <c r="OZE35" s="759"/>
      <c r="OZF35" s="759"/>
      <c r="OZN35" s="1035"/>
      <c r="OZO35" s="1035"/>
      <c r="OZP35" s="759"/>
      <c r="OZR35" s="759"/>
      <c r="OZS35" s="759"/>
      <c r="PAA35" s="1035"/>
      <c r="PAB35" s="1035"/>
      <c r="PAC35" s="759"/>
      <c r="PAE35" s="759"/>
      <c r="PAF35" s="759"/>
      <c r="PAN35" s="1035"/>
      <c r="PAO35" s="1035"/>
      <c r="PAP35" s="759"/>
      <c r="PAR35" s="759"/>
      <c r="PAS35" s="759"/>
      <c r="PBA35" s="1035"/>
      <c r="PBB35" s="1035"/>
      <c r="PBC35" s="759"/>
      <c r="PBE35" s="759"/>
      <c r="PBF35" s="759"/>
      <c r="PBN35" s="1035"/>
      <c r="PBO35" s="1035"/>
      <c r="PBP35" s="759"/>
      <c r="PBR35" s="759"/>
      <c r="PBS35" s="759"/>
      <c r="PCA35" s="1035"/>
      <c r="PCB35" s="1035"/>
      <c r="PCC35" s="759"/>
      <c r="PCE35" s="759"/>
      <c r="PCF35" s="759"/>
      <c r="PCN35" s="1035"/>
      <c r="PCO35" s="1035"/>
      <c r="PCP35" s="759"/>
      <c r="PCR35" s="759"/>
      <c r="PCS35" s="759"/>
      <c r="PDA35" s="1035"/>
      <c r="PDB35" s="1035"/>
      <c r="PDC35" s="759"/>
      <c r="PDE35" s="759"/>
      <c r="PDF35" s="759"/>
      <c r="PDN35" s="1035"/>
      <c r="PDO35" s="1035"/>
      <c r="PDP35" s="759"/>
      <c r="PDR35" s="759"/>
      <c r="PDS35" s="759"/>
      <c r="PEA35" s="1035"/>
      <c r="PEB35" s="1035"/>
      <c r="PEC35" s="759"/>
      <c r="PEE35" s="759"/>
      <c r="PEF35" s="759"/>
      <c r="PEN35" s="1035"/>
      <c r="PEO35" s="1035"/>
      <c r="PEP35" s="759"/>
      <c r="PER35" s="759"/>
      <c r="PES35" s="759"/>
      <c r="PFA35" s="1035"/>
      <c r="PFB35" s="1035"/>
      <c r="PFC35" s="759"/>
      <c r="PFE35" s="759"/>
      <c r="PFF35" s="759"/>
      <c r="PFN35" s="1035"/>
      <c r="PFO35" s="1035"/>
      <c r="PFP35" s="759"/>
      <c r="PFR35" s="759"/>
      <c r="PFS35" s="759"/>
      <c r="PGA35" s="1035"/>
      <c r="PGB35" s="1035"/>
      <c r="PGC35" s="759"/>
      <c r="PGE35" s="759"/>
      <c r="PGF35" s="759"/>
      <c r="PGN35" s="1035"/>
      <c r="PGO35" s="1035"/>
      <c r="PGP35" s="759"/>
      <c r="PGR35" s="759"/>
      <c r="PGS35" s="759"/>
      <c r="PHA35" s="1035"/>
      <c r="PHB35" s="1035"/>
      <c r="PHC35" s="759"/>
      <c r="PHE35" s="759"/>
      <c r="PHF35" s="759"/>
      <c r="PHN35" s="1035"/>
      <c r="PHO35" s="1035"/>
      <c r="PHP35" s="759"/>
      <c r="PHR35" s="759"/>
      <c r="PHS35" s="759"/>
      <c r="PIA35" s="1035"/>
      <c r="PIB35" s="1035"/>
      <c r="PIC35" s="759"/>
      <c r="PIE35" s="759"/>
      <c r="PIF35" s="759"/>
      <c r="PIN35" s="1035"/>
      <c r="PIO35" s="1035"/>
      <c r="PIP35" s="759"/>
      <c r="PIR35" s="759"/>
      <c r="PIS35" s="759"/>
      <c r="PJA35" s="1035"/>
      <c r="PJB35" s="1035"/>
      <c r="PJC35" s="759"/>
      <c r="PJE35" s="759"/>
      <c r="PJF35" s="759"/>
      <c r="PJN35" s="1035"/>
      <c r="PJO35" s="1035"/>
      <c r="PJP35" s="759"/>
      <c r="PJR35" s="759"/>
      <c r="PJS35" s="759"/>
      <c r="PKA35" s="1035"/>
      <c r="PKB35" s="1035"/>
      <c r="PKC35" s="759"/>
      <c r="PKE35" s="759"/>
      <c r="PKF35" s="759"/>
      <c r="PKN35" s="1035"/>
      <c r="PKO35" s="1035"/>
      <c r="PKP35" s="759"/>
      <c r="PKR35" s="759"/>
      <c r="PKS35" s="759"/>
      <c r="PLA35" s="1035"/>
      <c r="PLB35" s="1035"/>
      <c r="PLC35" s="759"/>
      <c r="PLE35" s="759"/>
      <c r="PLF35" s="759"/>
      <c r="PLN35" s="1035"/>
      <c r="PLO35" s="1035"/>
      <c r="PLP35" s="759"/>
      <c r="PLR35" s="759"/>
      <c r="PLS35" s="759"/>
      <c r="PMA35" s="1035"/>
      <c r="PMB35" s="1035"/>
      <c r="PMC35" s="759"/>
      <c r="PME35" s="759"/>
      <c r="PMF35" s="759"/>
      <c r="PMN35" s="1035"/>
      <c r="PMO35" s="1035"/>
      <c r="PMP35" s="759"/>
      <c r="PMR35" s="759"/>
      <c r="PMS35" s="759"/>
      <c r="PNA35" s="1035"/>
      <c r="PNB35" s="1035"/>
      <c r="PNC35" s="759"/>
      <c r="PNE35" s="759"/>
      <c r="PNF35" s="759"/>
      <c r="PNN35" s="1035"/>
      <c r="PNO35" s="1035"/>
      <c r="PNP35" s="759"/>
      <c r="PNR35" s="759"/>
      <c r="PNS35" s="759"/>
      <c r="POA35" s="1035"/>
      <c r="POB35" s="1035"/>
      <c r="POC35" s="759"/>
      <c r="POE35" s="759"/>
      <c r="POF35" s="759"/>
      <c r="PON35" s="1035"/>
      <c r="POO35" s="1035"/>
      <c r="POP35" s="759"/>
      <c r="POR35" s="759"/>
      <c r="POS35" s="759"/>
      <c r="PPA35" s="1035"/>
      <c r="PPB35" s="1035"/>
      <c r="PPC35" s="759"/>
      <c r="PPE35" s="759"/>
      <c r="PPF35" s="759"/>
      <c r="PPN35" s="1035"/>
      <c r="PPO35" s="1035"/>
      <c r="PPP35" s="759"/>
      <c r="PPR35" s="759"/>
      <c r="PPS35" s="759"/>
      <c r="PQA35" s="1035"/>
      <c r="PQB35" s="1035"/>
      <c r="PQC35" s="759"/>
      <c r="PQE35" s="759"/>
      <c r="PQF35" s="759"/>
      <c r="PQN35" s="1035"/>
      <c r="PQO35" s="1035"/>
      <c r="PQP35" s="759"/>
      <c r="PQR35" s="759"/>
      <c r="PQS35" s="759"/>
      <c r="PRA35" s="1035"/>
      <c r="PRB35" s="1035"/>
      <c r="PRC35" s="759"/>
      <c r="PRE35" s="759"/>
      <c r="PRF35" s="759"/>
      <c r="PRN35" s="1035"/>
      <c r="PRO35" s="1035"/>
      <c r="PRP35" s="759"/>
      <c r="PRR35" s="759"/>
      <c r="PRS35" s="759"/>
      <c r="PSA35" s="1035"/>
      <c r="PSB35" s="1035"/>
      <c r="PSC35" s="759"/>
      <c r="PSE35" s="759"/>
      <c r="PSF35" s="759"/>
      <c r="PSN35" s="1035"/>
      <c r="PSO35" s="1035"/>
      <c r="PSP35" s="759"/>
      <c r="PSR35" s="759"/>
      <c r="PSS35" s="759"/>
      <c r="PTA35" s="1035"/>
      <c r="PTB35" s="1035"/>
      <c r="PTC35" s="759"/>
      <c r="PTE35" s="759"/>
      <c r="PTF35" s="759"/>
      <c r="PTN35" s="1035"/>
      <c r="PTO35" s="1035"/>
      <c r="PTP35" s="759"/>
      <c r="PTR35" s="759"/>
      <c r="PTS35" s="759"/>
      <c r="PUA35" s="1035"/>
      <c r="PUB35" s="1035"/>
      <c r="PUC35" s="759"/>
      <c r="PUE35" s="759"/>
      <c r="PUF35" s="759"/>
      <c r="PUN35" s="1035"/>
      <c r="PUO35" s="1035"/>
      <c r="PUP35" s="759"/>
      <c r="PUR35" s="759"/>
      <c r="PUS35" s="759"/>
      <c r="PVA35" s="1035"/>
      <c r="PVB35" s="1035"/>
      <c r="PVC35" s="759"/>
      <c r="PVE35" s="759"/>
      <c r="PVF35" s="759"/>
      <c r="PVN35" s="1035"/>
      <c r="PVO35" s="1035"/>
      <c r="PVP35" s="759"/>
      <c r="PVR35" s="759"/>
      <c r="PVS35" s="759"/>
      <c r="PWA35" s="1035"/>
      <c r="PWB35" s="1035"/>
      <c r="PWC35" s="759"/>
      <c r="PWE35" s="759"/>
      <c r="PWF35" s="759"/>
      <c r="PWN35" s="1035"/>
      <c r="PWO35" s="1035"/>
      <c r="PWP35" s="759"/>
      <c r="PWR35" s="759"/>
      <c r="PWS35" s="759"/>
      <c r="PXA35" s="1035"/>
      <c r="PXB35" s="1035"/>
      <c r="PXC35" s="759"/>
      <c r="PXE35" s="759"/>
      <c r="PXF35" s="759"/>
      <c r="PXN35" s="1035"/>
      <c r="PXO35" s="1035"/>
      <c r="PXP35" s="759"/>
      <c r="PXR35" s="759"/>
      <c r="PXS35" s="759"/>
      <c r="PYA35" s="1035"/>
      <c r="PYB35" s="1035"/>
      <c r="PYC35" s="759"/>
      <c r="PYE35" s="759"/>
      <c r="PYF35" s="759"/>
      <c r="PYN35" s="1035"/>
      <c r="PYO35" s="1035"/>
      <c r="PYP35" s="759"/>
      <c r="PYR35" s="759"/>
      <c r="PYS35" s="759"/>
      <c r="PZA35" s="1035"/>
      <c r="PZB35" s="1035"/>
      <c r="PZC35" s="759"/>
      <c r="PZE35" s="759"/>
      <c r="PZF35" s="759"/>
      <c r="PZN35" s="1035"/>
      <c r="PZO35" s="1035"/>
      <c r="PZP35" s="759"/>
      <c r="PZR35" s="759"/>
      <c r="PZS35" s="759"/>
      <c r="QAA35" s="1035"/>
      <c r="QAB35" s="1035"/>
      <c r="QAC35" s="759"/>
      <c r="QAE35" s="759"/>
      <c r="QAF35" s="759"/>
      <c r="QAN35" s="1035"/>
      <c r="QAO35" s="1035"/>
      <c r="QAP35" s="759"/>
      <c r="QAR35" s="759"/>
      <c r="QAS35" s="759"/>
      <c r="QBA35" s="1035"/>
      <c r="QBB35" s="1035"/>
      <c r="QBC35" s="759"/>
      <c r="QBE35" s="759"/>
      <c r="QBF35" s="759"/>
      <c r="QBN35" s="1035"/>
      <c r="QBO35" s="1035"/>
      <c r="QBP35" s="759"/>
      <c r="QBR35" s="759"/>
      <c r="QBS35" s="759"/>
      <c r="QCA35" s="1035"/>
      <c r="QCB35" s="1035"/>
      <c r="QCC35" s="759"/>
      <c r="QCE35" s="759"/>
      <c r="QCF35" s="759"/>
      <c r="QCN35" s="1035"/>
      <c r="QCO35" s="1035"/>
      <c r="QCP35" s="759"/>
      <c r="QCR35" s="759"/>
      <c r="QCS35" s="759"/>
      <c r="QDA35" s="1035"/>
      <c r="QDB35" s="1035"/>
      <c r="QDC35" s="759"/>
      <c r="QDE35" s="759"/>
      <c r="QDF35" s="759"/>
      <c r="QDN35" s="1035"/>
      <c r="QDO35" s="1035"/>
      <c r="QDP35" s="759"/>
      <c r="QDR35" s="759"/>
      <c r="QDS35" s="759"/>
      <c r="QEA35" s="1035"/>
      <c r="QEB35" s="1035"/>
      <c r="QEC35" s="759"/>
      <c r="QEE35" s="759"/>
      <c r="QEF35" s="759"/>
      <c r="QEN35" s="1035"/>
      <c r="QEO35" s="1035"/>
      <c r="QEP35" s="759"/>
      <c r="QER35" s="759"/>
      <c r="QES35" s="759"/>
      <c r="QFA35" s="1035"/>
      <c r="QFB35" s="1035"/>
      <c r="QFC35" s="759"/>
      <c r="QFE35" s="759"/>
      <c r="QFF35" s="759"/>
      <c r="QFN35" s="1035"/>
      <c r="QFO35" s="1035"/>
      <c r="QFP35" s="759"/>
      <c r="QFR35" s="759"/>
      <c r="QFS35" s="759"/>
      <c r="QGA35" s="1035"/>
      <c r="QGB35" s="1035"/>
      <c r="QGC35" s="759"/>
      <c r="QGE35" s="759"/>
      <c r="QGF35" s="759"/>
      <c r="QGN35" s="1035"/>
      <c r="QGO35" s="1035"/>
      <c r="QGP35" s="759"/>
      <c r="QGR35" s="759"/>
      <c r="QGS35" s="759"/>
      <c r="QHA35" s="1035"/>
      <c r="QHB35" s="1035"/>
      <c r="QHC35" s="759"/>
      <c r="QHE35" s="759"/>
      <c r="QHF35" s="759"/>
      <c r="QHN35" s="1035"/>
      <c r="QHO35" s="1035"/>
      <c r="QHP35" s="759"/>
      <c r="QHR35" s="759"/>
      <c r="QHS35" s="759"/>
      <c r="QIA35" s="1035"/>
      <c r="QIB35" s="1035"/>
      <c r="QIC35" s="759"/>
      <c r="QIE35" s="759"/>
      <c r="QIF35" s="759"/>
      <c r="QIN35" s="1035"/>
      <c r="QIO35" s="1035"/>
      <c r="QIP35" s="759"/>
      <c r="QIR35" s="759"/>
      <c r="QIS35" s="759"/>
      <c r="QJA35" s="1035"/>
      <c r="QJB35" s="1035"/>
      <c r="QJC35" s="759"/>
      <c r="QJE35" s="759"/>
      <c r="QJF35" s="759"/>
      <c r="QJN35" s="1035"/>
      <c r="QJO35" s="1035"/>
      <c r="QJP35" s="759"/>
      <c r="QJR35" s="759"/>
      <c r="QJS35" s="759"/>
      <c r="QKA35" s="1035"/>
      <c r="QKB35" s="1035"/>
      <c r="QKC35" s="759"/>
      <c r="QKE35" s="759"/>
      <c r="QKF35" s="759"/>
      <c r="QKN35" s="1035"/>
      <c r="QKO35" s="1035"/>
      <c r="QKP35" s="759"/>
      <c r="QKR35" s="759"/>
      <c r="QKS35" s="759"/>
      <c r="QLA35" s="1035"/>
      <c r="QLB35" s="1035"/>
      <c r="QLC35" s="759"/>
      <c r="QLE35" s="759"/>
      <c r="QLF35" s="759"/>
      <c r="QLN35" s="1035"/>
      <c r="QLO35" s="1035"/>
      <c r="QLP35" s="759"/>
      <c r="QLR35" s="759"/>
      <c r="QLS35" s="759"/>
      <c r="QMA35" s="1035"/>
      <c r="QMB35" s="1035"/>
      <c r="QMC35" s="759"/>
      <c r="QME35" s="759"/>
      <c r="QMF35" s="759"/>
      <c r="QMN35" s="1035"/>
      <c r="QMO35" s="1035"/>
      <c r="QMP35" s="759"/>
      <c r="QMR35" s="759"/>
      <c r="QMS35" s="759"/>
      <c r="QNA35" s="1035"/>
      <c r="QNB35" s="1035"/>
      <c r="QNC35" s="759"/>
      <c r="QNE35" s="759"/>
      <c r="QNF35" s="759"/>
      <c r="QNN35" s="1035"/>
      <c r="QNO35" s="1035"/>
      <c r="QNP35" s="759"/>
      <c r="QNR35" s="759"/>
      <c r="QNS35" s="759"/>
      <c r="QOA35" s="1035"/>
      <c r="QOB35" s="1035"/>
      <c r="QOC35" s="759"/>
      <c r="QOE35" s="759"/>
      <c r="QOF35" s="759"/>
      <c r="QON35" s="1035"/>
      <c r="QOO35" s="1035"/>
      <c r="QOP35" s="759"/>
      <c r="QOR35" s="759"/>
      <c r="QOS35" s="759"/>
      <c r="QPA35" s="1035"/>
      <c r="QPB35" s="1035"/>
      <c r="QPC35" s="759"/>
      <c r="QPE35" s="759"/>
      <c r="QPF35" s="759"/>
      <c r="QPN35" s="1035"/>
      <c r="QPO35" s="1035"/>
      <c r="QPP35" s="759"/>
      <c r="QPR35" s="759"/>
      <c r="QPS35" s="759"/>
      <c r="QQA35" s="1035"/>
      <c r="QQB35" s="1035"/>
      <c r="QQC35" s="759"/>
      <c r="QQE35" s="759"/>
      <c r="QQF35" s="759"/>
      <c r="QQN35" s="1035"/>
      <c r="QQO35" s="1035"/>
      <c r="QQP35" s="759"/>
      <c r="QQR35" s="759"/>
      <c r="QQS35" s="759"/>
      <c r="QRA35" s="1035"/>
      <c r="QRB35" s="1035"/>
      <c r="QRC35" s="759"/>
      <c r="QRE35" s="759"/>
      <c r="QRF35" s="759"/>
      <c r="QRN35" s="1035"/>
      <c r="QRO35" s="1035"/>
      <c r="QRP35" s="759"/>
      <c r="QRR35" s="759"/>
      <c r="QRS35" s="759"/>
      <c r="QSA35" s="1035"/>
      <c r="QSB35" s="1035"/>
      <c r="QSC35" s="759"/>
      <c r="QSE35" s="759"/>
      <c r="QSF35" s="759"/>
      <c r="QSN35" s="1035"/>
      <c r="QSO35" s="1035"/>
      <c r="QSP35" s="759"/>
      <c r="QSR35" s="759"/>
      <c r="QSS35" s="759"/>
      <c r="QTA35" s="1035"/>
      <c r="QTB35" s="1035"/>
      <c r="QTC35" s="759"/>
      <c r="QTE35" s="759"/>
      <c r="QTF35" s="759"/>
      <c r="QTN35" s="1035"/>
      <c r="QTO35" s="1035"/>
      <c r="QTP35" s="759"/>
      <c r="QTR35" s="759"/>
      <c r="QTS35" s="759"/>
      <c r="QUA35" s="1035"/>
      <c r="QUB35" s="1035"/>
      <c r="QUC35" s="759"/>
      <c r="QUE35" s="759"/>
      <c r="QUF35" s="759"/>
      <c r="QUN35" s="1035"/>
      <c r="QUO35" s="1035"/>
      <c r="QUP35" s="759"/>
      <c r="QUR35" s="759"/>
      <c r="QUS35" s="759"/>
      <c r="QVA35" s="1035"/>
      <c r="QVB35" s="1035"/>
      <c r="QVC35" s="759"/>
      <c r="QVE35" s="759"/>
      <c r="QVF35" s="759"/>
      <c r="QVN35" s="1035"/>
      <c r="QVO35" s="1035"/>
      <c r="QVP35" s="759"/>
      <c r="QVR35" s="759"/>
      <c r="QVS35" s="759"/>
      <c r="QWA35" s="1035"/>
      <c r="QWB35" s="1035"/>
      <c r="QWC35" s="759"/>
      <c r="QWE35" s="759"/>
      <c r="QWF35" s="759"/>
      <c r="QWN35" s="1035"/>
      <c r="QWO35" s="1035"/>
      <c r="QWP35" s="759"/>
      <c r="QWR35" s="759"/>
      <c r="QWS35" s="759"/>
      <c r="QXA35" s="1035"/>
      <c r="QXB35" s="1035"/>
      <c r="QXC35" s="759"/>
      <c r="QXE35" s="759"/>
      <c r="QXF35" s="759"/>
      <c r="QXN35" s="1035"/>
      <c r="QXO35" s="1035"/>
      <c r="QXP35" s="759"/>
      <c r="QXR35" s="759"/>
      <c r="QXS35" s="759"/>
      <c r="QYA35" s="1035"/>
      <c r="QYB35" s="1035"/>
      <c r="QYC35" s="759"/>
      <c r="QYE35" s="759"/>
      <c r="QYF35" s="759"/>
      <c r="QYN35" s="1035"/>
      <c r="QYO35" s="1035"/>
      <c r="QYP35" s="759"/>
      <c r="QYR35" s="759"/>
      <c r="QYS35" s="759"/>
      <c r="QZA35" s="1035"/>
      <c r="QZB35" s="1035"/>
      <c r="QZC35" s="759"/>
      <c r="QZE35" s="759"/>
      <c r="QZF35" s="759"/>
      <c r="QZN35" s="1035"/>
      <c r="QZO35" s="1035"/>
      <c r="QZP35" s="759"/>
      <c r="QZR35" s="759"/>
      <c r="QZS35" s="759"/>
      <c r="RAA35" s="1035"/>
      <c r="RAB35" s="1035"/>
      <c r="RAC35" s="759"/>
      <c r="RAE35" s="759"/>
      <c r="RAF35" s="759"/>
      <c r="RAN35" s="1035"/>
      <c r="RAO35" s="1035"/>
      <c r="RAP35" s="759"/>
      <c r="RAR35" s="759"/>
      <c r="RAS35" s="759"/>
      <c r="RBA35" s="1035"/>
      <c r="RBB35" s="1035"/>
      <c r="RBC35" s="759"/>
      <c r="RBE35" s="759"/>
      <c r="RBF35" s="759"/>
      <c r="RBN35" s="1035"/>
      <c r="RBO35" s="1035"/>
      <c r="RBP35" s="759"/>
      <c r="RBR35" s="759"/>
      <c r="RBS35" s="759"/>
      <c r="RCA35" s="1035"/>
      <c r="RCB35" s="1035"/>
      <c r="RCC35" s="759"/>
      <c r="RCE35" s="759"/>
      <c r="RCF35" s="759"/>
      <c r="RCN35" s="1035"/>
      <c r="RCO35" s="1035"/>
      <c r="RCP35" s="759"/>
      <c r="RCR35" s="759"/>
      <c r="RCS35" s="759"/>
      <c r="RDA35" s="1035"/>
      <c r="RDB35" s="1035"/>
      <c r="RDC35" s="759"/>
      <c r="RDE35" s="759"/>
      <c r="RDF35" s="759"/>
      <c r="RDN35" s="1035"/>
      <c r="RDO35" s="1035"/>
      <c r="RDP35" s="759"/>
      <c r="RDR35" s="759"/>
      <c r="RDS35" s="759"/>
      <c r="REA35" s="1035"/>
      <c r="REB35" s="1035"/>
      <c r="REC35" s="759"/>
      <c r="REE35" s="759"/>
      <c r="REF35" s="759"/>
      <c r="REN35" s="1035"/>
      <c r="REO35" s="1035"/>
      <c r="REP35" s="759"/>
      <c r="RER35" s="759"/>
      <c r="RES35" s="759"/>
      <c r="RFA35" s="1035"/>
      <c r="RFB35" s="1035"/>
      <c r="RFC35" s="759"/>
      <c r="RFE35" s="759"/>
      <c r="RFF35" s="759"/>
      <c r="RFN35" s="1035"/>
      <c r="RFO35" s="1035"/>
      <c r="RFP35" s="759"/>
      <c r="RFR35" s="759"/>
      <c r="RFS35" s="759"/>
      <c r="RGA35" s="1035"/>
      <c r="RGB35" s="1035"/>
      <c r="RGC35" s="759"/>
      <c r="RGE35" s="759"/>
      <c r="RGF35" s="759"/>
      <c r="RGN35" s="1035"/>
      <c r="RGO35" s="1035"/>
      <c r="RGP35" s="759"/>
      <c r="RGR35" s="759"/>
      <c r="RGS35" s="759"/>
      <c r="RHA35" s="1035"/>
      <c r="RHB35" s="1035"/>
      <c r="RHC35" s="759"/>
      <c r="RHE35" s="759"/>
      <c r="RHF35" s="759"/>
      <c r="RHN35" s="1035"/>
      <c r="RHO35" s="1035"/>
      <c r="RHP35" s="759"/>
      <c r="RHR35" s="759"/>
      <c r="RHS35" s="759"/>
      <c r="RIA35" s="1035"/>
      <c r="RIB35" s="1035"/>
      <c r="RIC35" s="759"/>
      <c r="RIE35" s="759"/>
      <c r="RIF35" s="759"/>
      <c r="RIN35" s="1035"/>
      <c r="RIO35" s="1035"/>
      <c r="RIP35" s="759"/>
      <c r="RIR35" s="759"/>
      <c r="RIS35" s="759"/>
      <c r="RJA35" s="1035"/>
      <c r="RJB35" s="1035"/>
      <c r="RJC35" s="759"/>
      <c r="RJE35" s="759"/>
      <c r="RJF35" s="759"/>
      <c r="RJN35" s="1035"/>
      <c r="RJO35" s="1035"/>
      <c r="RJP35" s="759"/>
      <c r="RJR35" s="759"/>
      <c r="RJS35" s="759"/>
      <c r="RKA35" s="1035"/>
      <c r="RKB35" s="1035"/>
      <c r="RKC35" s="759"/>
      <c r="RKE35" s="759"/>
      <c r="RKF35" s="759"/>
      <c r="RKN35" s="1035"/>
      <c r="RKO35" s="1035"/>
      <c r="RKP35" s="759"/>
      <c r="RKR35" s="759"/>
      <c r="RKS35" s="759"/>
      <c r="RLA35" s="1035"/>
      <c r="RLB35" s="1035"/>
      <c r="RLC35" s="759"/>
      <c r="RLE35" s="759"/>
      <c r="RLF35" s="759"/>
      <c r="RLN35" s="1035"/>
      <c r="RLO35" s="1035"/>
      <c r="RLP35" s="759"/>
      <c r="RLR35" s="759"/>
      <c r="RLS35" s="759"/>
      <c r="RMA35" s="1035"/>
      <c r="RMB35" s="1035"/>
      <c r="RMC35" s="759"/>
      <c r="RME35" s="759"/>
      <c r="RMF35" s="759"/>
      <c r="RMN35" s="1035"/>
      <c r="RMO35" s="1035"/>
      <c r="RMP35" s="759"/>
      <c r="RMR35" s="759"/>
      <c r="RMS35" s="759"/>
      <c r="RNA35" s="1035"/>
      <c r="RNB35" s="1035"/>
      <c r="RNC35" s="759"/>
      <c r="RNE35" s="759"/>
      <c r="RNF35" s="759"/>
      <c r="RNN35" s="1035"/>
      <c r="RNO35" s="1035"/>
      <c r="RNP35" s="759"/>
      <c r="RNR35" s="759"/>
      <c r="RNS35" s="759"/>
      <c r="ROA35" s="1035"/>
      <c r="ROB35" s="1035"/>
      <c r="ROC35" s="759"/>
      <c r="ROE35" s="759"/>
      <c r="ROF35" s="759"/>
      <c r="RON35" s="1035"/>
      <c r="ROO35" s="1035"/>
      <c r="ROP35" s="759"/>
      <c r="ROR35" s="759"/>
      <c r="ROS35" s="759"/>
      <c r="RPA35" s="1035"/>
      <c r="RPB35" s="1035"/>
      <c r="RPC35" s="759"/>
      <c r="RPE35" s="759"/>
      <c r="RPF35" s="759"/>
      <c r="RPN35" s="1035"/>
      <c r="RPO35" s="1035"/>
      <c r="RPP35" s="759"/>
      <c r="RPR35" s="759"/>
      <c r="RPS35" s="759"/>
      <c r="RQA35" s="1035"/>
      <c r="RQB35" s="1035"/>
      <c r="RQC35" s="759"/>
      <c r="RQE35" s="759"/>
      <c r="RQF35" s="759"/>
      <c r="RQN35" s="1035"/>
      <c r="RQO35" s="1035"/>
      <c r="RQP35" s="759"/>
      <c r="RQR35" s="759"/>
      <c r="RQS35" s="759"/>
      <c r="RRA35" s="1035"/>
      <c r="RRB35" s="1035"/>
      <c r="RRC35" s="759"/>
      <c r="RRE35" s="759"/>
      <c r="RRF35" s="759"/>
      <c r="RRN35" s="1035"/>
      <c r="RRO35" s="1035"/>
      <c r="RRP35" s="759"/>
      <c r="RRR35" s="759"/>
      <c r="RRS35" s="759"/>
      <c r="RSA35" s="1035"/>
      <c r="RSB35" s="1035"/>
      <c r="RSC35" s="759"/>
      <c r="RSE35" s="759"/>
      <c r="RSF35" s="759"/>
      <c r="RSN35" s="1035"/>
      <c r="RSO35" s="1035"/>
      <c r="RSP35" s="759"/>
      <c r="RSR35" s="759"/>
      <c r="RSS35" s="759"/>
      <c r="RTA35" s="1035"/>
      <c r="RTB35" s="1035"/>
      <c r="RTC35" s="759"/>
      <c r="RTE35" s="759"/>
      <c r="RTF35" s="759"/>
      <c r="RTN35" s="1035"/>
      <c r="RTO35" s="1035"/>
      <c r="RTP35" s="759"/>
      <c r="RTR35" s="759"/>
      <c r="RTS35" s="759"/>
      <c r="RUA35" s="1035"/>
      <c r="RUB35" s="1035"/>
      <c r="RUC35" s="759"/>
      <c r="RUE35" s="759"/>
      <c r="RUF35" s="759"/>
      <c r="RUN35" s="1035"/>
      <c r="RUO35" s="1035"/>
      <c r="RUP35" s="759"/>
      <c r="RUR35" s="759"/>
      <c r="RUS35" s="759"/>
      <c r="RVA35" s="1035"/>
      <c r="RVB35" s="1035"/>
      <c r="RVC35" s="759"/>
      <c r="RVE35" s="759"/>
      <c r="RVF35" s="759"/>
      <c r="RVN35" s="1035"/>
      <c r="RVO35" s="1035"/>
      <c r="RVP35" s="759"/>
      <c r="RVR35" s="759"/>
      <c r="RVS35" s="759"/>
      <c r="RWA35" s="1035"/>
      <c r="RWB35" s="1035"/>
      <c r="RWC35" s="759"/>
      <c r="RWE35" s="759"/>
      <c r="RWF35" s="759"/>
      <c r="RWN35" s="1035"/>
      <c r="RWO35" s="1035"/>
      <c r="RWP35" s="759"/>
      <c r="RWR35" s="759"/>
      <c r="RWS35" s="759"/>
      <c r="RXA35" s="1035"/>
      <c r="RXB35" s="1035"/>
      <c r="RXC35" s="759"/>
      <c r="RXE35" s="759"/>
      <c r="RXF35" s="759"/>
      <c r="RXN35" s="1035"/>
      <c r="RXO35" s="1035"/>
      <c r="RXP35" s="759"/>
      <c r="RXR35" s="759"/>
      <c r="RXS35" s="759"/>
      <c r="RYA35" s="1035"/>
      <c r="RYB35" s="1035"/>
      <c r="RYC35" s="759"/>
      <c r="RYE35" s="759"/>
      <c r="RYF35" s="759"/>
      <c r="RYN35" s="1035"/>
      <c r="RYO35" s="1035"/>
      <c r="RYP35" s="759"/>
      <c r="RYR35" s="759"/>
      <c r="RYS35" s="759"/>
      <c r="RZA35" s="1035"/>
      <c r="RZB35" s="1035"/>
      <c r="RZC35" s="759"/>
      <c r="RZE35" s="759"/>
      <c r="RZF35" s="759"/>
      <c r="RZN35" s="1035"/>
      <c r="RZO35" s="1035"/>
      <c r="RZP35" s="759"/>
      <c r="RZR35" s="759"/>
      <c r="RZS35" s="759"/>
      <c r="SAA35" s="1035"/>
      <c r="SAB35" s="1035"/>
      <c r="SAC35" s="759"/>
      <c r="SAE35" s="759"/>
      <c r="SAF35" s="759"/>
      <c r="SAN35" s="1035"/>
      <c r="SAO35" s="1035"/>
      <c r="SAP35" s="759"/>
      <c r="SAR35" s="759"/>
      <c r="SAS35" s="759"/>
      <c r="SBA35" s="1035"/>
      <c r="SBB35" s="1035"/>
      <c r="SBC35" s="759"/>
      <c r="SBE35" s="759"/>
      <c r="SBF35" s="759"/>
      <c r="SBN35" s="1035"/>
      <c r="SBO35" s="1035"/>
      <c r="SBP35" s="759"/>
      <c r="SBR35" s="759"/>
      <c r="SBS35" s="759"/>
      <c r="SCA35" s="1035"/>
      <c r="SCB35" s="1035"/>
      <c r="SCC35" s="759"/>
      <c r="SCE35" s="759"/>
      <c r="SCF35" s="759"/>
      <c r="SCN35" s="1035"/>
      <c r="SCO35" s="1035"/>
      <c r="SCP35" s="759"/>
      <c r="SCR35" s="759"/>
      <c r="SCS35" s="759"/>
      <c r="SDA35" s="1035"/>
      <c r="SDB35" s="1035"/>
      <c r="SDC35" s="759"/>
      <c r="SDE35" s="759"/>
      <c r="SDF35" s="759"/>
      <c r="SDN35" s="1035"/>
      <c r="SDO35" s="1035"/>
      <c r="SDP35" s="759"/>
      <c r="SDR35" s="759"/>
      <c r="SDS35" s="759"/>
      <c r="SEA35" s="1035"/>
      <c r="SEB35" s="1035"/>
      <c r="SEC35" s="759"/>
      <c r="SEE35" s="759"/>
      <c r="SEF35" s="759"/>
      <c r="SEN35" s="1035"/>
      <c r="SEO35" s="1035"/>
      <c r="SEP35" s="759"/>
      <c r="SER35" s="759"/>
      <c r="SES35" s="759"/>
      <c r="SFA35" s="1035"/>
      <c r="SFB35" s="1035"/>
      <c r="SFC35" s="759"/>
      <c r="SFE35" s="759"/>
      <c r="SFF35" s="759"/>
      <c r="SFN35" s="1035"/>
      <c r="SFO35" s="1035"/>
      <c r="SFP35" s="759"/>
      <c r="SFR35" s="759"/>
      <c r="SFS35" s="759"/>
      <c r="SGA35" s="1035"/>
      <c r="SGB35" s="1035"/>
      <c r="SGC35" s="759"/>
      <c r="SGE35" s="759"/>
      <c r="SGF35" s="759"/>
      <c r="SGN35" s="1035"/>
      <c r="SGO35" s="1035"/>
      <c r="SGP35" s="759"/>
      <c r="SGR35" s="759"/>
      <c r="SGS35" s="759"/>
      <c r="SHA35" s="1035"/>
      <c r="SHB35" s="1035"/>
      <c r="SHC35" s="759"/>
      <c r="SHE35" s="759"/>
      <c r="SHF35" s="759"/>
      <c r="SHN35" s="1035"/>
      <c r="SHO35" s="1035"/>
      <c r="SHP35" s="759"/>
      <c r="SHR35" s="759"/>
      <c r="SHS35" s="759"/>
      <c r="SIA35" s="1035"/>
      <c r="SIB35" s="1035"/>
      <c r="SIC35" s="759"/>
      <c r="SIE35" s="759"/>
      <c r="SIF35" s="759"/>
      <c r="SIN35" s="1035"/>
      <c r="SIO35" s="1035"/>
      <c r="SIP35" s="759"/>
      <c r="SIR35" s="759"/>
      <c r="SIS35" s="759"/>
      <c r="SJA35" s="1035"/>
      <c r="SJB35" s="1035"/>
      <c r="SJC35" s="759"/>
      <c r="SJE35" s="759"/>
      <c r="SJF35" s="759"/>
      <c r="SJN35" s="1035"/>
      <c r="SJO35" s="1035"/>
      <c r="SJP35" s="759"/>
      <c r="SJR35" s="759"/>
      <c r="SJS35" s="759"/>
      <c r="SKA35" s="1035"/>
      <c r="SKB35" s="1035"/>
      <c r="SKC35" s="759"/>
      <c r="SKE35" s="759"/>
      <c r="SKF35" s="759"/>
      <c r="SKN35" s="1035"/>
      <c r="SKO35" s="1035"/>
      <c r="SKP35" s="759"/>
      <c r="SKR35" s="759"/>
      <c r="SKS35" s="759"/>
      <c r="SLA35" s="1035"/>
      <c r="SLB35" s="1035"/>
      <c r="SLC35" s="759"/>
      <c r="SLE35" s="759"/>
      <c r="SLF35" s="759"/>
      <c r="SLN35" s="1035"/>
      <c r="SLO35" s="1035"/>
      <c r="SLP35" s="759"/>
      <c r="SLR35" s="759"/>
      <c r="SLS35" s="759"/>
      <c r="SMA35" s="1035"/>
      <c r="SMB35" s="1035"/>
      <c r="SMC35" s="759"/>
      <c r="SME35" s="759"/>
      <c r="SMF35" s="759"/>
      <c r="SMN35" s="1035"/>
      <c r="SMO35" s="1035"/>
      <c r="SMP35" s="759"/>
      <c r="SMR35" s="759"/>
      <c r="SMS35" s="759"/>
      <c r="SNA35" s="1035"/>
      <c r="SNB35" s="1035"/>
      <c r="SNC35" s="759"/>
      <c r="SNE35" s="759"/>
      <c r="SNF35" s="759"/>
      <c r="SNN35" s="1035"/>
      <c r="SNO35" s="1035"/>
      <c r="SNP35" s="759"/>
      <c r="SNR35" s="759"/>
      <c r="SNS35" s="759"/>
      <c r="SOA35" s="1035"/>
      <c r="SOB35" s="1035"/>
      <c r="SOC35" s="759"/>
      <c r="SOE35" s="759"/>
      <c r="SOF35" s="759"/>
      <c r="SON35" s="1035"/>
      <c r="SOO35" s="1035"/>
      <c r="SOP35" s="759"/>
      <c r="SOR35" s="759"/>
      <c r="SOS35" s="759"/>
      <c r="SPA35" s="1035"/>
      <c r="SPB35" s="1035"/>
      <c r="SPC35" s="759"/>
      <c r="SPE35" s="759"/>
      <c r="SPF35" s="759"/>
      <c r="SPN35" s="1035"/>
      <c r="SPO35" s="1035"/>
      <c r="SPP35" s="759"/>
      <c r="SPR35" s="759"/>
      <c r="SPS35" s="759"/>
      <c r="SQA35" s="1035"/>
      <c r="SQB35" s="1035"/>
      <c r="SQC35" s="759"/>
      <c r="SQE35" s="759"/>
      <c r="SQF35" s="759"/>
      <c r="SQN35" s="1035"/>
      <c r="SQO35" s="1035"/>
      <c r="SQP35" s="759"/>
      <c r="SQR35" s="759"/>
      <c r="SQS35" s="759"/>
      <c r="SRA35" s="1035"/>
      <c r="SRB35" s="1035"/>
      <c r="SRC35" s="759"/>
      <c r="SRE35" s="759"/>
      <c r="SRF35" s="759"/>
      <c r="SRN35" s="1035"/>
      <c r="SRO35" s="1035"/>
      <c r="SRP35" s="759"/>
      <c r="SRR35" s="759"/>
      <c r="SRS35" s="759"/>
      <c r="SSA35" s="1035"/>
      <c r="SSB35" s="1035"/>
      <c r="SSC35" s="759"/>
      <c r="SSE35" s="759"/>
      <c r="SSF35" s="759"/>
      <c r="SSN35" s="1035"/>
      <c r="SSO35" s="1035"/>
      <c r="SSP35" s="759"/>
      <c r="SSR35" s="759"/>
      <c r="SSS35" s="759"/>
      <c r="STA35" s="1035"/>
      <c r="STB35" s="1035"/>
      <c r="STC35" s="759"/>
      <c r="STE35" s="759"/>
      <c r="STF35" s="759"/>
      <c r="STN35" s="1035"/>
      <c r="STO35" s="1035"/>
      <c r="STP35" s="759"/>
      <c r="STR35" s="759"/>
      <c r="STS35" s="759"/>
      <c r="SUA35" s="1035"/>
      <c r="SUB35" s="1035"/>
      <c r="SUC35" s="759"/>
      <c r="SUE35" s="759"/>
      <c r="SUF35" s="759"/>
      <c r="SUN35" s="1035"/>
      <c r="SUO35" s="1035"/>
      <c r="SUP35" s="759"/>
      <c r="SUR35" s="759"/>
      <c r="SUS35" s="759"/>
      <c r="SVA35" s="1035"/>
      <c r="SVB35" s="1035"/>
      <c r="SVC35" s="759"/>
      <c r="SVE35" s="759"/>
      <c r="SVF35" s="759"/>
      <c r="SVN35" s="1035"/>
      <c r="SVO35" s="1035"/>
      <c r="SVP35" s="759"/>
      <c r="SVR35" s="759"/>
      <c r="SVS35" s="759"/>
      <c r="SWA35" s="1035"/>
      <c r="SWB35" s="1035"/>
      <c r="SWC35" s="759"/>
      <c r="SWE35" s="759"/>
      <c r="SWF35" s="759"/>
      <c r="SWN35" s="1035"/>
      <c r="SWO35" s="1035"/>
      <c r="SWP35" s="759"/>
      <c r="SWR35" s="759"/>
      <c r="SWS35" s="759"/>
      <c r="SXA35" s="1035"/>
      <c r="SXB35" s="1035"/>
      <c r="SXC35" s="759"/>
      <c r="SXE35" s="759"/>
      <c r="SXF35" s="759"/>
      <c r="SXN35" s="1035"/>
      <c r="SXO35" s="1035"/>
      <c r="SXP35" s="759"/>
      <c r="SXR35" s="759"/>
      <c r="SXS35" s="759"/>
      <c r="SYA35" s="1035"/>
      <c r="SYB35" s="1035"/>
      <c r="SYC35" s="759"/>
      <c r="SYE35" s="759"/>
      <c r="SYF35" s="759"/>
      <c r="SYN35" s="1035"/>
      <c r="SYO35" s="1035"/>
      <c r="SYP35" s="759"/>
      <c r="SYR35" s="759"/>
      <c r="SYS35" s="759"/>
      <c r="SZA35" s="1035"/>
      <c r="SZB35" s="1035"/>
      <c r="SZC35" s="759"/>
      <c r="SZE35" s="759"/>
      <c r="SZF35" s="759"/>
      <c r="SZN35" s="1035"/>
      <c r="SZO35" s="1035"/>
      <c r="SZP35" s="759"/>
      <c r="SZR35" s="759"/>
      <c r="SZS35" s="759"/>
      <c r="TAA35" s="1035"/>
      <c r="TAB35" s="1035"/>
      <c r="TAC35" s="759"/>
      <c r="TAE35" s="759"/>
      <c r="TAF35" s="759"/>
      <c r="TAN35" s="1035"/>
      <c r="TAO35" s="1035"/>
      <c r="TAP35" s="759"/>
      <c r="TAR35" s="759"/>
      <c r="TAS35" s="759"/>
      <c r="TBA35" s="1035"/>
      <c r="TBB35" s="1035"/>
      <c r="TBC35" s="759"/>
      <c r="TBE35" s="759"/>
      <c r="TBF35" s="759"/>
      <c r="TBN35" s="1035"/>
      <c r="TBO35" s="1035"/>
      <c r="TBP35" s="759"/>
      <c r="TBR35" s="759"/>
      <c r="TBS35" s="759"/>
      <c r="TCA35" s="1035"/>
      <c r="TCB35" s="1035"/>
      <c r="TCC35" s="759"/>
      <c r="TCE35" s="759"/>
      <c r="TCF35" s="759"/>
      <c r="TCN35" s="1035"/>
      <c r="TCO35" s="1035"/>
      <c r="TCP35" s="759"/>
      <c r="TCR35" s="759"/>
      <c r="TCS35" s="759"/>
      <c r="TDA35" s="1035"/>
      <c r="TDB35" s="1035"/>
      <c r="TDC35" s="759"/>
      <c r="TDE35" s="759"/>
      <c r="TDF35" s="759"/>
      <c r="TDN35" s="1035"/>
      <c r="TDO35" s="1035"/>
      <c r="TDP35" s="759"/>
      <c r="TDR35" s="759"/>
      <c r="TDS35" s="759"/>
      <c r="TEA35" s="1035"/>
      <c r="TEB35" s="1035"/>
      <c r="TEC35" s="759"/>
      <c r="TEE35" s="759"/>
      <c r="TEF35" s="759"/>
      <c r="TEN35" s="1035"/>
      <c r="TEO35" s="1035"/>
      <c r="TEP35" s="759"/>
      <c r="TER35" s="759"/>
      <c r="TES35" s="759"/>
      <c r="TFA35" s="1035"/>
      <c r="TFB35" s="1035"/>
      <c r="TFC35" s="759"/>
      <c r="TFE35" s="759"/>
      <c r="TFF35" s="759"/>
      <c r="TFN35" s="1035"/>
      <c r="TFO35" s="1035"/>
      <c r="TFP35" s="759"/>
      <c r="TFR35" s="759"/>
      <c r="TFS35" s="759"/>
      <c r="TGA35" s="1035"/>
      <c r="TGB35" s="1035"/>
      <c r="TGC35" s="759"/>
      <c r="TGE35" s="759"/>
      <c r="TGF35" s="759"/>
      <c r="TGN35" s="1035"/>
      <c r="TGO35" s="1035"/>
      <c r="TGP35" s="759"/>
      <c r="TGR35" s="759"/>
      <c r="TGS35" s="759"/>
      <c r="THA35" s="1035"/>
      <c r="THB35" s="1035"/>
      <c r="THC35" s="759"/>
      <c r="THE35" s="759"/>
      <c r="THF35" s="759"/>
      <c r="THN35" s="1035"/>
      <c r="THO35" s="1035"/>
      <c r="THP35" s="759"/>
      <c r="THR35" s="759"/>
      <c r="THS35" s="759"/>
      <c r="TIA35" s="1035"/>
      <c r="TIB35" s="1035"/>
      <c r="TIC35" s="759"/>
      <c r="TIE35" s="759"/>
      <c r="TIF35" s="759"/>
      <c r="TIN35" s="1035"/>
      <c r="TIO35" s="1035"/>
      <c r="TIP35" s="759"/>
      <c r="TIR35" s="759"/>
      <c r="TIS35" s="759"/>
      <c r="TJA35" s="1035"/>
      <c r="TJB35" s="1035"/>
      <c r="TJC35" s="759"/>
      <c r="TJE35" s="759"/>
      <c r="TJF35" s="759"/>
      <c r="TJN35" s="1035"/>
      <c r="TJO35" s="1035"/>
      <c r="TJP35" s="759"/>
      <c r="TJR35" s="759"/>
      <c r="TJS35" s="759"/>
      <c r="TKA35" s="1035"/>
      <c r="TKB35" s="1035"/>
      <c r="TKC35" s="759"/>
      <c r="TKE35" s="759"/>
      <c r="TKF35" s="759"/>
      <c r="TKN35" s="1035"/>
      <c r="TKO35" s="1035"/>
      <c r="TKP35" s="759"/>
      <c r="TKR35" s="759"/>
      <c r="TKS35" s="759"/>
      <c r="TLA35" s="1035"/>
      <c r="TLB35" s="1035"/>
      <c r="TLC35" s="759"/>
      <c r="TLE35" s="759"/>
      <c r="TLF35" s="759"/>
      <c r="TLN35" s="1035"/>
      <c r="TLO35" s="1035"/>
      <c r="TLP35" s="759"/>
      <c r="TLR35" s="759"/>
      <c r="TLS35" s="759"/>
      <c r="TMA35" s="1035"/>
      <c r="TMB35" s="1035"/>
      <c r="TMC35" s="759"/>
      <c r="TME35" s="759"/>
      <c r="TMF35" s="759"/>
      <c r="TMN35" s="1035"/>
      <c r="TMO35" s="1035"/>
      <c r="TMP35" s="759"/>
      <c r="TMR35" s="759"/>
      <c r="TMS35" s="759"/>
      <c r="TNA35" s="1035"/>
      <c r="TNB35" s="1035"/>
      <c r="TNC35" s="759"/>
      <c r="TNE35" s="759"/>
      <c r="TNF35" s="759"/>
      <c r="TNN35" s="1035"/>
      <c r="TNO35" s="1035"/>
      <c r="TNP35" s="759"/>
      <c r="TNR35" s="759"/>
      <c r="TNS35" s="759"/>
      <c r="TOA35" s="1035"/>
      <c r="TOB35" s="1035"/>
      <c r="TOC35" s="759"/>
      <c r="TOE35" s="759"/>
      <c r="TOF35" s="759"/>
      <c r="TON35" s="1035"/>
      <c r="TOO35" s="1035"/>
      <c r="TOP35" s="759"/>
      <c r="TOR35" s="759"/>
      <c r="TOS35" s="759"/>
      <c r="TPA35" s="1035"/>
      <c r="TPB35" s="1035"/>
      <c r="TPC35" s="759"/>
      <c r="TPE35" s="759"/>
      <c r="TPF35" s="759"/>
      <c r="TPN35" s="1035"/>
      <c r="TPO35" s="1035"/>
      <c r="TPP35" s="759"/>
      <c r="TPR35" s="759"/>
      <c r="TPS35" s="759"/>
      <c r="TQA35" s="1035"/>
      <c r="TQB35" s="1035"/>
      <c r="TQC35" s="759"/>
      <c r="TQE35" s="759"/>
      <c r="TQF35" s="759"/>
      <c r="TQN35" s="1035"/>
      <c r="TQO35" s="1035"/>
      <c r="TQP35" s="759"/>
      <c r="TQR35" s="759"/>
      <c r="TQS35" s="759"/>
      <c r="TRA35" s="1035"/>
      <c r="TRB35" s="1035"/>
      <c r="TRC35" s="759"/>
      <c r="TRE35" s="759"/>
      <c r="TRF35" s="759"/>
      <c r="TRN35" s="1035"/>
      <c r="TRO35" s="1035"/>
      <c r="TRP35" s="759"/>
      <c r="TRR35" s="759"/>
      <c r="TRS35" s="759"/>
      <c r="TSA35" s="1035"/>
      <c r="TSB35" s="1035"/>
      <c r="TSC35" s="759"/>
      <c r="TSE35" s="759"/>
      <c r="TSF35" s="759"/>
      <c r="TSN35" s="1035"/>
      <c r="TSO35" s="1035"/>
      <c r="TSP35" s="759"/>
      <c r="TSR35" s="759"/>
      <c r="TSS35" s="759"/>
      <c r="TTA35" s="1035"/>
      <c r="TTB35" s="1035"/>
      <c r="TTC35" s="759"/>
      <c r="TTE35" s="759"/>
      <c r="TTF35" s="759"/>
      <c r="TTN35" s="1035"/>
      <c r="TTO35" s="1035"/>
      <c r="TTP35" s="759"/>
      <c r="TTR35" s="759"/>
      <c r="TTS35" s="759"/>
      <c r="TUA35" s="1035"/>
      <c r="TUB35" s="1035"/>
      <c r="TUC35" s="759"/>
      <c r="TUE35" s="759"/>
      <c r="TUF35" s="759"/>
      <c r="TUN35" s="1035"/>
      <c r="TUO35" s="1035"/>
      <c r="TUP35" s="759"/>
      <c r="TUR35" s="759"/>
      <c r="TUS35" s="759"/>
      <c r="TVA35" s="1035"/>
      <c r="TVB35" s="1035"/>
      <c r="TVC35" s="759"/>
      <c r="TVE35" s="759"/>
      <c r="TVF35" s="759"/>
      <c r="TVN35" s="1035"/>
      <c r="TVO35" s="1035"/>
      <c r="TVP35" s="759"/>
      <c r="TVR35" s="759"/>
      <c r="TVS35" s="759"/>
      <c r="TWA35" s="1035"/>
      <c r="TWB35" s="1035"/>
      <c r="TWC35" s="759"/>
      <c r="TWE35" s="759"/>
      <c r="TWF35" s="759"/>
      <c r="TWN35" s="1035"/>
      <c r="TWO35" s="1035"/>
      <c r="TWP35" s="759"/>
      <c r="TWR35" s="759"/>
      <c r="TWS35" s="759"/>
      <c r="TXA35" s="1035"/>
      <c r="TXB35" s="1035"/>
      <c r="TXC35" s="759"/>
      <c r="TXE35" s="759"/>
      <c r="TXF35" s="759"/>
      <c r="TXN35" s="1035"/>
      <c r="TXO35" s="1035"/>
      <c r="TXP35" s="759"/>
      <c r="TXR35" s="759"/>
      <c r="TXS35" s="759"/>
      <c r="TYA35" s="1035"/>
      <c r="TYB35" s="1035"/>
      <c r="TYC35" s="759"/>
      <c r="TYE35" s="759"/>
      <c r="TYF35" s="759"/>
      <c r="TYN35" s="1035"/>
      <c r="TYO35" s="1035"/>
      <c r="TYP35" s="759"/>
      <c r="TYR35" s="759"/>
      <c r="TYS35" s="759"/>
      <c r="TZA35" s="1035"/>
      <c r="TZB35" s="1035"/>
      <c r="TZC35" s="759"/>
      <c r="TZE35" s="759"/>
      <c r="TZF35" s="759"/>
      <c r="TZN35" s="1035"/>
      <c r="TZO35" s="1035"/>
      <c r="TZP35" s="759"/>
      <c r="TZR35" s="759"/>
      <c r="TZS35" s="759"/>
      <c r="UAA35" s="1035"/>
      <c r="UAB35" s="1035"/>
      <c r="UAC35" s="759"/>
      <c r="UAE35" s="759"/>
      <c r="UAF35" s="759"/>
      <c r="UAN35" s="1035"/>
      <c r="UAO35" s="1035"/>
      <c r="UAP35" s="759"/>
      <c r="UAR35" s="759"/>
      <c r="UAS35" s="759"/>
      <c r="UBA35" s="1035"/>
      <c r="UBB35" s="1035"/>
      <c r="UBC35" s="759"/>
      <c r="UBE35" s="759"/>
      <c r="UBF35" s="759"/>
      <c r="UBN35" s="1035"/>
      <c r="UBO35" s="1035"/>
      <c r="UBP35" s="759"/>
      <c r="UBR35" s="759"/>
      <c r="UBS35" s="759"/>
      <c r="UCA35" s="1035"/>
      <c r="UCB35" s="1035"/>
      <c r="UCC35" s="759"/>
      <c r="UCE35" s="759"/>
      <c r="UCF35" s="759"/>
      <c r="UCN35" s="1035"/>
      <c r="UCO35" s="1035"/>
      <c r="UCP35" s="759"/>
      <c r="UCR35" s="759"/>
      <c r="UCS35" s="759"/>
      <c r="UDA35" s="1035"/>
      <c r="UDB35" s="1035"/>
      <c r="UDC35" s="759"/>
      <c r="UDE35" s="759"/>
      <c r="UDF35" s="759"/>
      <c r="UDN35" s="1035"/>
      <c r="UDO35" s="1035"/>
      <c r="UDP35" s="759"/>
      <c r="UDR35" s="759"/>
      <c r="UDS35" s="759"/>
      <c r="UEA35" s="1035"/>
      <c r="UEB35" s="1035"/>
      <c r="UEC35" s="759"/>
      <c r="UEE35" s="759"/>
      <c r="UEF35" s="759"/>
      <c r="UEN35" s="1035"/>
      <c r="UEO35" s="1035"/>
      <c r="UEP35" s="759"/>
      <c r="UER35" s="759"/>
      <c r="UES35" s="759"/>
      <c r="UFA35" s="1035"/>
      <c r="UFB35" s="1035"/>
      <c r="UFC35" s="759"/>
      <c r="UFE35" s="759"/>
      <c r="UFF35" s="759"/>
      <c r="UFN35" s="1035"/>
      <c r="UFO35" s="1035"/>
      <c r="UFP35" s="759"/>
      <c r="UFR35" s="759"/>
      <c r="UFS35" s="759"/>
      <c r="UGA35" s="1035"/>
      <c r="UGB35" s="1035"/>
      <c r="UGC35" s="759"/>
      <c r="UGE35" s="759"/>
      <c r="UGF35" s="759"/>
      <c r="UGN35" s="1035"/>
      <c r="UGO35" s="1035"/>
      <c r="UGP35" s="759"/>
      <c r="UGR35" s="759"/>
      <c r="UGS35" s="759"/>
      <c r="UHA35" s="1035"/>
      <c r="UHB35" s="1035"/>
      <c r="UHC35" s="759"/>
      <c r="UHE35" s="759"/>
      <c r="UHF35" s="759"/>
      <c r="UHN35" s="1035"/>
      <c r="UHO35" s="1035"/>
      <c r="UHP35" s="759"/>
      <c r="UHR35" s="759"/>
      <c r="UHS35" s="759"/>
      <c r="UIA35" s="1035"/>
      <c r="UIB35" s="1035"/>
      <c r="UIC35" s="759"/>
      <c r="UIE35" s="759"/>
      <c r="UIF35" s="759"/>
      <c r="UIN35" s="1035"/>
      <c r="UIO35" s="1035"/>
      <c r="UIP35" s="759"/>
      <c r="UIR35" s="759"/>
      <c r="UIS35" s="759"/>
      <c r="UJA35" s="1035"/>
      <c r="UJB35" s="1035"/>
      <c r="UJC35" s="759"/>
      <c r="UJE35" s="759"/>
      <c r="UJF35" s="759"/>
      <c r="UJN35" s="1035"/>
      <c r="UJO35" s="1035"/>
      <c r="UJP35" s="759"/>
      <c r="UJR35" s="759"/>
      <c r="UJS35" s="759"/>
      <c r="UKA35" s="1035"/>
      <c r="UKB35" s="1035"/>
      <c r="UKC35" s="759"/>
      <c r="UKE35" s="759"/>
      <c r="UKF35" s="759"/>
      <c r="UKN35" s="1035"/>
      <c r="UKO35" s="1035"/>
      <c r="UKP35" s="759"/>
      <c r="UKR35" s="759"/>
      <c r="UKS35" s="759"/>
      <c r="ULA35" s="1035"/>
      <c r="ULB35" s="1035"/>
      <c r="ULC35" s="759"/>
      <c r="ULE35" s="759"/>
      <c r="ULF35" s="759"/>
      <c r="ULN35" s="1035"/>
      <c r="ULO35" s="1035"/>
      <c r="ULP35" s="759"/>
      <c r="ULR35" s="759"/>
      <c r="ULS35" s="759"/>
      <c r="UMA35" s="1035"/>
      <c r="UMB35" s="1035"/>
      <c r="UMC35" s="759"/>
      <c r="UME35" s="759"/>
      <c r="UMF35" s="759"/>
      <c r="UMN35" s="1035"/>
      <c r="UMO35" s="1035"/>
      <c r="UMP35" s="759"/>
      <c r="UMR35" s="759"/>
      <c r="UMS35" s="759"/>
      <c r="UNA35" s="1035"/>
      <c r="UNB35" s="1035"/>
      <c r="UNC35" s="759"/>
      <c r="UNE35" s="759"/>
      <c r="UNF35" s="759"/>
      <c r="UNN35" s="1035"/>
      <c r="UNO35" s="1035"/>
      <c r="UNP35" s="759"/>
      <c r="UNR35" s="759"/>
      <c r="UNS35" s="759"/>
      <c r="UOA35" s="1035"/>
      <c r="UOB35" s="1035"/>
      <c r="UOC35" s="759"/>
      <c r="UOE35" s="759"/>
      <c r="UOF35" s="759"/>
      <c r="UON35" s="1035"/>
      <c r="UOO35" s="1035"/>
      <c r="UOP35" s="759"/>
      <c r="UOR35" s="759"/>
      <c r="UOS35" s="759"/>
      <c r="UPA35" s="1035"/>
      <c r="UPB35" s="1035"/>
      <c r="UPC35" s="759"/>
      <c r="UPE35" s="759"/>
      <c r="UPF35" s="759"/>
      <c r="UPN35" s="1035"/>
      <c r="UPO35" s="1035"/>
      <c r="UPP35" s="759"/>
      <c r="UPR35" s="759"/>
      <c r="UPS35" s="759"/>
      <c r="UQA35" s="1035"/>
      <c r="UQB35" s="1035"/>
      <c r="UQC35" s="759"/>
      <c r="UQE35" s="759"/>
      <c r="UQF35" s="759"/>
      <c r="UQN35" s="1035"/>
      <c r="UQO35" s="1035"/>
      <c r="UQP35" s="759"/>
      <c r="UQR35" s="759"/>
      <c r="UQS35" s="759"/>
      <c r="URA35" s="1035"/>
      <c r="URB35" s="1035"/>
      <c r="URC35" s="759"/>
      <c r="URE35" s="759"/>
      <c r="URF35" s="759"/>
      <c r="URN35" s="1035"/>
      <c r="URO35" s="1035"/>
      <c r="URP35" s="759"/>
      <c r="URR35" s="759"/>
      <c r="URS35" s="759"/>
      <c r="USA35" s="1035"/>
      <c r="USB35" s="1035"/>
      <c r="USC35" s="759"/>
      <c r="USE35" s="759"/>
      <c r="USF35" s="759"/>
      <c r="USN35" s="1035"/>
      <c r="USO35" s="1035"/>
      <c r="USP35" s="759"/>
      <c r="USR35" s="759"/>
      <c r="USS35" s="759"/>
      <c r="UTA35" s="1035"/>
      <c r="UTB35" s="1035"/>
      <c r="UTC35" s="759"/>
      <c r="UTE35" s="759"/>
      <c r="UTF35" s="759"/>
      <c r="UTN35" s="1035"/>
      <c r="UTO35" s="1035"/>
      <c r="UTP35" s="759"/>
      <c r="UTR35" s="759"/>
      <c r="UTS35" s="759"/>
      <c r="UUA35" s="1035"/>
      <c r="UUB35" s="1035"/>
      <c r="UUC35" s="759"/>
      <c r="UUE35" s="759"/>
      <c r="UUF35" s="759"/>
      <c r="UUN35" s="1035"/>
      <c r="UUO35" s="1035"/>
      <c r="UUP35" s="759"/>
      <c r="UUR35" s="759"/>
      <c r="UUS35" s="759"/>
      <c r="UVA35" s="1035"/>
      <c r="UVB35" s="1035"/>
      <c r="UVC35" s="759"/>
      <c r="UVE35" s="759"/>
      <c r="UVF35" s="759"/>
      <c r="UVN35" s="1035"/>
      <c r="UVO35" s="1035"/>
      <c r="UVP35" s="759"/>
      <c r="UVR35" s="759"/>
      <c r="UVS35" s="759"/>
      <c r="UWA35" s="1035"/>
      <c r="UWB35" s="1035"/>
      <c r="UWC35" s="759"/>
      <c r="UWE35" s="759"/>
      <c r="UWF35" s="759"/>
      <c r="UWN35" s="1035"/>
      <c r="UWO35" s="1035"/>
      <c r="UWP35" s="759"/>
      <c r="UWR35" s="759"/>
      <c r="UWS35" s="759"/>
      <c r="UXA35" s="1035"/>
      <c r="UXB35" s="1035"/>
      <c r="UXC35" s="759"/>
      <c r="UXE35" s="759"/>
      <c r="UXF35" s="759"/>
      <c r="UXN35" s="1035"/>
      <c r="UXO35" s="1035"/>
      <c r="UXP35" s="759"/>
      <c r="UXR35" s="759"/>
      <c r="UXS35" s="759"/>
      <c r="UYA35" s="1035"/>
      <c r="UYB35" s="1035"/>
      <c r="UYC35" s="759"/>
      <c r="UYE35" s="759"/>
      <c r="UYF35" s="759"/>
      <c r="UYN35" s="1035"/>
      <c r="UYO35" s="1035"/>
      <c r="UYP35" s="759"/>
      <c r="UYR35" s="759"/>
      <c r="UYS35" s="759"/>
      <c r="UZA35" s="1035"/>
      <c r="UZB35" s="1035"/>
      <c r="UZC35" s="759"/>
      <c r="UZE35" s="759"/>
      <c r="UZF35" s="759"/>
      <c r="UZN35" s="1035"/>
      <c r="UZO35" s="1035"/>
      <c r="UZP35" s="759"/>
      <c r="UZR35" s="759"/>
      <c r="UZS35" s="759"/>
      <c r="VAA35" s="1035"/>
      <c r="VAB35" s="1035"/>
      <c r="VAC35" s="759"/>
      <c r="VAE35" s="759"/>
      <c r="VAF35" s="759"/>
      <c r="VAN35" s="1035"/>
      <c r="VAO35" s="1035"/>
      <c r="VAP35" s="759"/>
      <c r="VAR35" s="759"/>
      <c r="VAS35" s="759"/>
      <c r="VBA35" s="1035"/>
      <c r="VBB35" s="1035"/>
      <c r="VBC35" s="759"/>
      <c r="VBE35" s="759"/>
      <c r="VBF35" s="759"/>
      <c r="VBN35" s="1035"/>
      <c r="VBO35" s="1035"/>
      <c r="VBP35" s="759"/>
      <c r="VBR35" s="759"/>
      <c r="VBS35" s="759"/>
      <c r="VCA35" s="1035"/>
      <c r="VCB35" s="1035"/>
      <c r="VCC35" s="759"/>
      <c r="VCE35" s="759"/>
      <c r="VCF35" s="759"/>
      <c r="VCN35" s="1035"/>
      <c r="VCO35" s="1035"/>
      <c r="VCP35" s="759"/>
      <c r="VCR35" s="759"/>
      <c r="VCS35" s="759"/>
      <c r="VDA35" s="1035"/>
      <c r="VDB35" s="1035"/>
      <c r="VDC35" s="759"/>
      <c r="VDE35" s="759"/>
      <c r="VDF35" s="759"/>
      <c r="VDN35" s="1035"/>
      <c r="VDO35" s="1035"/>
      <c r="VDP35" s="759"/>
      <c r="VDR35" s="759"/>
      <c r="VDS35" s="759"/>
      <c r="VEA35" s="1035"/>
      <c r="VEB35" s="1035"/>
      <c r="VEC35" s="759"/>
      <c r="VEE35" s="759"/>
      <c r="VEF35" s="759"/>
      <c r="VEN35" s="1035"/>
      <c r="VEO35" s="1035"/>
      <c r="VEP35" s="759"/>
      <c r="VER35" s="759"/>
      <c r="VES35" s="759"/>
      <c r="VFA35" s="1035"/>
      <c r="VFB35" s="1035"/>
      <c r="VFC35" s="759"/>
      <c r="VFE35" s="759"/>
      <c r="VFF35" s="759"/>
      <c r="VFN35" s="1035"/>
      <c r="VFO35" s="1035"/>
      <c r="VFP35" s="759"/>
      <c r="VFR35" s="759"/>
      <c r="VFS35" s="759"/>
      <c r="VGA35" s="1035"/>
      <c r="VGB35" s="1035"/>
      <c r="VGC35" s="759"/>
      <c r="VGE35" s="759"/>
      <c r="VGF35" s="759"/>
      <c r="VGN35" s="1035"/>
      <c r="VGO35" s="1035"/>
      <c r="VGP35" s="759"/>
      <c r="VGR35" s="759"/>
      <c r="VGS35" s="759"/>
      <c r="VHA35" s="1035"/>
      <c r="VHB35" s="1035"/>
      <c r="VHC35" s="759"/>
      <c r="VHE35" s="759"/>
      <c r="VHF35" s="759"/>
      <c r="VHN35" s="1035"/>
      <c r="VHO35" s="1035"/>
      <c r="VHP35" s="759"/>
      <c r="VHR35" s="759"/>
      <c r="VHS35" s="759"/>
      <c r="VIA35" s="1035"/>
      <c r="VIB35" s="1035"/>
      <c r="VIC35" s="759"/>
      <c r="VIE35" s="759"/>
      <c r="VIF35" s="759"/>
      <c r="VIN35" s="1035"/>
      <c r="VIO35" s="1035"/>
      <c r="VIP35" s="759"/>
      <c r="VIR35" s="759"/>
      <c r="VIS35" s="759"/>
      <c r="VJA35" s="1035"/>
      <c r="VJB35" s="1035"/>
      <c r="VJC35" s="759"/>
      <c r="VJE35" s="759"/>
      <c r="VJF35" s="759"/>
      <c r="VJN35" s="1035"/>
      <c r="VJO35" s="1035"/>
      <c r="VJP35" s="759"/>
      <c r="VJR35" s="759"/>
      <c r="VJS35" s="759"/>
      <c r="VKA35" s="1035"/>
      <c r="VKB35" s="1035"/>
      <c r="VKC35" s="759"/>
      <c r="VKE35" s="759"/>
      <c r="VKF35" s="759"/>
      <c r="VKN35" s="1035"/>
      <c r="VKO35" s="1035"/>
      <c r="VKP35" s="759"/>
      <c r="VKR35" s="759"/>
      <c r="VKS35" s="759"/>
      <c r="VLA35" s="1035"/>
      <c r="VLB35" s="1035"/>
      <c r="VLC35" s="759"/>
      <c r="VLE35" s="759"/>
      <c r="VLF35" s="759"/>
      <c r="VLN35" s="1035"/>
      <c r="VLO35" s="1035"/>
      <c r="VLP35" s="759"/>
      <c r="VLR35" s="759"/>
      <c r="VLS35" s="759"/>
      <c r="VMA35" s="1035"/>
      <c r="VMB35" s="1035"/>
      <c r="VMC35" s="759"/>
      <c r="VME35" s="759"/>
      <c r="VMF35" s="759"/>
      <c r="VMN35" s="1035"/>
      <c r="VMO35" s="1035"/>
      <c r="VMP35" s="759"/>
      <c r="VMR35" s="759"/>
      <c r="VMS35" s="759"/>
      <c r="VNA35" s="1035"/>
      <c r="VNB35" s="1035"/>
      <c r="VNC35" s="759"/>
      <c r="VNE35" s="759"/>
      <c r="VNF35" s="759"/>
      <c r="VNN35" s="1035"/>
      <c r="VNO35" s="1035"/>
      <c r="VNP35" s="759"/>
      <c r="VNR35" s="759"/>
      <c r="VNS35" s="759"/>
      <c r="VOA35" s="1035"/>
      <c r="VOB35" s="1035"/>
      <c r="VOC35" s="759"/>
      <c r="VOE35" s="759"/>
      <c r="VOF35" s="759"/>
      <c r="VON35" s="1035"/>
      <c r="VOO35" s="1035"/>
      <c r="VOP35" s="759"/>
      <c r="VOR35" s="759"/>
      <c r="VOS35" s="759"/>
      <c r="VPA35" s="1035"/>
      <c r="VPB35" s="1035"/>
      <c r="VPC35" s="759"/>
      <c r="VPE35" s="759"/>
      <c r="VPF35" s="759"/>
      <c r="VPN35" s="1035"/>
      <c r="VPO35" s="1035"/>
      <c r="VPP35" s="759"/>
      <c r="VPR35" s="759"/>
      <c r="VPS35" s="759"/>
      <c r="VQA35" s="1035"/>
      <c r="VQB35" s="1035"/>
      <c r="VQC35" s="759"/>
      <c r="VQE35" s="759"/>
      <c r="VQF35" s="759"/>
      <c r="VQN35" s="1035"/>
      <c r="VQO35" s="1035"/>
      <c r="VQP35" s="759"/>
      <c r="VQR35" s="759"/>
      <c r="VQS35" s="759"/>
      <c r="VRA35" s="1035"/>
      <c r="VRB35" s="1035"/>
      <c r="VRC35" s="759"/>
      <c r="VRE35" s="759"/>
      <c r="VRF35" s="759"/>
      <c r="VRN35" s="1035"/>
      <c r="VRO35" s="1035"/>
      <c r="VRP35" s="759"/>
      <c r="VRR35" s="759"/>
      <c r="VRS35" s="759"/>
      <c r="VSA35" s="1035"/>
      <c r="VSB35" s="1035"/>
      <c r="VSC35" s="759"/>
      <c r="VSE35" s="759"/>
      <c r="VSF35" s="759"/>
      <c r="VSN35" s="1035"/>
      <c r="VSO35" s="1035"/>
      <c r="VSP35" s="759"/>
      <c r="VSR35" s="759"/>
      <c r="VSS35" s="759"/>
      <c r="VTA35" s="1035"/>
      <c r="VTB35" s="1035"/>
      <c r="VTC35" s="759"/>
      <c r="VTE35" s="759"/>
      <c r="VTF35" s="759"/>
      <c r="VTN35" s="1035"/>
      <c r="VTO35" s="1035"/>
      <c r="VTP35" s="759"/>
      <c r="VTR35" s="759"/>
      <c r="VTS35" s="759"/>
      <c r="VUA35" s="1035"/>
      <c r="VUB35" s="1035"/>
      <c r="VUC35" s="759"/>
      <c r="VUE35" s="759"/>
      <c r="VUF35" s="759"/>
      <c r="VUN35" s="1035"/>
      <c r="VUO35" s="1035"/>
      <c r="VUP35" s="759"/>
      <c r="VUR35" s="759"/>
      <c r="VUS35" s="759"/>
      <c r="VVA35" s="1035"/>
      <c r="VVB35" s="1035"/>
      <c r="VVC35" s="759"/>
      <c r="VVE35" s="759"/>
      <c r="VVF35" s="759"/>
      <c r="VVN35" s="1035"/>
      <c r="VVO35" s="1035"/>
      <c r="VVP35" s="759"/>
      <c r="VVR35" s="759"/>
      <c r="VVS35" s="759"/>
      <c r="VWA35" s="1035"/>
      <c r="VWB35" s="1035"/>
      <c r="VWC35" s="759"/>
      <c r="VWE35" s="759"/>
      <c r="VWF35" s="759"/>
      <c r="VWN35" s="1035"/>
      <c r="VWO35" s="1035"/>
      <c r="VWP35" s="759"/>
      <c r="VWR35" s="759"/>
      <c r="VWS35" s="759"/>
      <c r="VXA35" s="1035"/>
      <c r="VXB35" s="1035"/>
      <c r="VXC35" s="759"/>
      <c r="VXE35" s="759"/>
      <c r="VXF35" s="759"/>
      <c r="VXN35" s="1035"/>
      <c r="VXO35" s="1035"/>
      <c r="VXP35" s="759"/>
      <c r="VXR35" s="759"/>
      <c r="VXS35" s="759"/>
      <c r="VYA35" s="1035"/>
      <c r="VYB35" s="1035"/>
      <c r="VYC35" s="759"/>
      <c r="VYE35" s="759"/>
      <c r="VYF35" s="759"/>
      <c r="VYN35" s="1035"/>
      <c r="VYO35" s="1035"/>
      <c r="VYP35" s="759"/>
      <c r="VYR35" s="759"/>
      <c r="VYS35" s="759"/>
      <c r="VZA35" s="1035"/>
      <c r="VZB35" s="1035"/>
      <c r="VZC35" s="759"/>
      <c r="VZE35" s="759"/>
      <c r="VZF35" s="759"/>
      <c r="VZN35" s="1035"/>
      <c r="VZO35" s="1035"/>
      <c r="VZP35" s="759"/>
      <c r="VZR35" s="759"/>
      <c r="VZS35" s="759"/>
      <c r="WAA35" s="1035"/>
      <c r="WAB35" s="1035"/>
      <c r="WAC35" s="759"/>
      <c r="WAE35" s="759"/>
      <c r="WAF35" s="759"/>
      <c r="WAN35" s="1035"/>
      <c r="WAO35" s="1035"/>
      <c r="WAP35" s="759"/>
      <c r="WAR35" s="759"/>
      <c r="WAS35" s="759"/>
      <c r="WBA35" s="1035"/>
      <c r="WBB35" s="1035"/>
      <c r="WBC35" s="759"/>
      <c r="WBE35" s="759"/>
      <c r="WBF35" s="759"/>
      <c r="WBN35" s="1035"/>
      <c r="WBO35" s="1035"/>
      <c r="WBP35" s="759"/>
      <c r="WBR35" s="759"/>
      <c r="WBS35" s="759"/>
      <c r="WCA35" s="1035"/>
      <c r="WCB35" s="1035"/>
      <c r="WCC35" s="759"/>
      <c r="WCE35" s="759"/>
      <c r="WCF35" s="759"/>
      <c r="WCN35" s="1035"/>
      <c r="WCO35" s="1035"/>
      <c r="WCP35" s="759"/>
      <c r="WCR35" s="759"/>
      <c r="WCS35" s="759"/>
      <c r="WDA35" s="1035"/>
      <c r="WDB35" s="1035"/>
      <c r="WDC35" s="759"/>
      <c r="WDE35" s="759"/>
      <c r="WDF35" s="759"/>
      <c r="WDN35" s="1035"/>
      <c r="WDO35" s="1035"/>
      <c r="WDP35" s="759"/>
      <c r="WDR35" s="759"/>
      <c r="WDS35" s="759"/>
      <c r="WEA35" s="1035"/>
      <c r="WEB35" s="1035"/>
      <c r="WEC35" s="759"/>
      <c r="WEE35" s="759"/>
      <c r="WEF35" s="759"/>
      <c r="WEN35" s="1035"/>
      <c r="WEO35" s="1035"/>
      <c r="WEP35" s="759"/>
      <c r="WER35" s="759"/>
      <c r="WES35" s="759"/>
      <c r="WFA35" s="1035"/>
      <c r="WFB35" s="1035"/>
      <c r="WFC35" s="759"/>
      <c r="WFE35" s="759"/>
      <c r="WFF35" s="759"/>
      <c r="WFN35" s="1035"/>
      <c r="WFO35" s="1035"/>
      <c r="WFP35" s="759"/>
      <c r="WFR35" s="759"/>
      <c r="WFS35" s="759"/>
      <c r="WGA35" s="1035"/>
      <c r="WGB35" s="1035"/>
      <c r="WGC35" s="759"/>
      <c r="WGE35" s="759"/>
      <c r="WGF35" s="759"/>
      <c r="WGN35" s="1035"/>
      <c r="WGO35" s="1035"/>
      <c r="WGP35" s="759"/>
      <c r="WGR35" s="759"/>
      <c r="WGS35" s="759"/>
      <c r="WHA35" s="1035"/>
      <c r="WHB35" s="1035"/>
      <c r="WHC35" s="759"/>
      <c r="WHE35" s="759"/>
      <c r="WHF35" s="759"/>
      <c r="WHN35" s="1035"/>
      <c r="WHO35" s="1035"/>
      <c r="WHP35" s="759"/>
      <c r="WHR35" s="759"/>
      <c r="WHS35" s="759"/>
      <c r="WIA35" s="1035"/>
      <c r="WIB35" s="1035"/>
      <c r="WIC35" s="759"/>
      <c r="WIE35" s="759"/>
      <c r="WIF35" s="759"/>
      <c r="WIN35" s="1035"/>
      <c r="WIO35" s="1035"/>
      <c r="WIP35" s="759"/>
      <c r="WIR35" s="759"/>
      <c r="WIS35" s="759"/>
      <c r="WJA35" s="1035"/>
      <c r="WJB35" s="1035"/>
      <c r="WJC35" s="759"/>
      <c r="WJE35" s="759"/>
      <c r="WJF35" s="759"/>
      <c r="WJN35" s="1035"/>
      <c r="WJO35" s="1035"/>
      <c r="WJP35" s="759"/>
      <c r="WJR35" s="759"/>
      <c r="WJS35" s="759"/>
      <c r="WKA35" s="1035"/>
      <c r="WKB35" s="1035"/>
      <c r="WKC35" s="759"/>
      <c r="WKE35" s="759"/>
      <c r="WKF35" s="759"/>
      <c r="WKN35" s="1035"/>
      <c r="WKO35" s="1035"/>
      <c r="WKP35" s="759"/>
      <c r="WKR35" s="759"/>
      <c r="WKS35" s="759"/>
      <c r="WLA35" s="1035"/>
      <c r="WLB35" s="1035"/>
      <c r="WLC35" s="759"/>
      <c r="WLE35" s="759"/>
      <c r="WLF35" s="759"/>
      <c r="WLN35" s="1035"/>
      <c r="WLO35" s="1035"/>
      <c r="WLP35" s="759"/>
      <c r="WLR35" s="759"/>
      <c r="WLS35" s="759"/>
      <c r="WMA35" s="1035"/>
      <c r="WMB35" s="1035"/>
      <c r="WMC35" s="759"/>
      <c r="WME35" s="759"/>
      <c r="WMF35" s="759"/>
      <c r="WMN35" s="1035"/>
      <c r="WMO35" s="1035"/>
      <c r="WMP35" s="759"/>
      <c r="WMR35" s="759"/>
      <c r="WMS35" s="759"/>
      <c r="WNA35" s="1035"/>
      <c r="WNB35" s="1035"/>
      <c r="WNC35" s="759"/>
      <c r="WNE35" s="759"/>
      <c r="WNF35" s="759"/>
      <c r="WNN35" s="1035"/>
      <c r="WNO35" s="1035"/>
      <c r="WNP35" s="759"/>
      <c r="WNR35" s="759"/>
      <c r="WNS35" s="759"/>
      <c r="WOA35" s="1035"/>
      <c r="WOB35" s="1035"/>
      <c r="WOC35" s="759"/>
      <c r="WOE35" s="759"/>
      <c r="WOF35" s="759"/>
      <c r="WON35" s="1035"/>
      <c r="WOO35" s="1035"/>
      <c r="WOP35" s="759"/>
      <c r="WOR35" s="759"/>
      <c r="WOS35" s="759"/>
      <c r="WPA35" s="1035"/>
      <c r="WPB35" s="1035"/>
      <c r="WPC35" s="759"/>
      <c r="WPE35" s="759"/>
      <c r="WPF35" s="759"/>
      <c r="WPN35" s="1035"/>
      <c r="WPO35" s="1035"/>
      <c r="WPP35" s="759"/>
      <c r="WPR35" s="759"/>
      <c r="WPS35" s="759"/>
      <c r="WQA35" s="1035"/>
      <c r="WQB35" s="1035"/>
      <c r="WQC35" s="759"/>
      <c r="WQE35" s="759"/>
      <c r="WQF35" s="759"/>
      <c r="WQN35" s="1035"/>
      <c r="WQO35" s="1035"/>
      <c r="WQP35" s="759"/>
      <c r="WQR35" s="759"/>
      <c r="WQS35" s="759"/>
      <c r="WRA35" s="1035"/>
      <c r="WRB35" s="1035"/>
      <c r="WRC35" s="759"/>
      <c r="WRE35" s="759"/>
      <c r="WRF35" s="759"/>
      <c r="WRN35" s="1035"/>
      <c r="WRO35" s="1035"/>
      <c r="WRP35" s="759"/>
      <c r="WRR35" s="759"/>
      <c r="WRS35" s="759"/>
      <c r="WSA35" s="1035"/>
      <c r="WSB35" s="1035"/>
      <c r="WSC35" s="759"/>
      <c r="WSE35" s="759"/>
      <c r="WSF35" s="759"/>
      <c r="WSN35" s="1035"/>
      <c r="WSO35" s="1035"/>
      <c r="WSP35" s="759"/>
      <c r="WSR35" s="759"/>
      <c r="WSS35" s="759"/>
      <c r="WTA35" s="1035"/>
      <c r="WTB35" s="1035"/>
      <c r="WTC35" s="759"/>
      <c r="WTE35" s="759"/>
      <c r="WTF35" s="759"/>
      <c r="WTN35" s="1035"/>
      <c r="WTO35" s="1035"/>
      <c r="WTP35" s="759"/>
      <c r="WTR35" s="759"/>
      <c r="WTS35" s="759"/>
      <c r="WUA35" s="1035"/>
      <c r="WUB35" s="1035"/>
      <c r="WUC35" s="759"/>
      <c r="WUE35" s="759"/>
      <c r="WUF35" s="759"/>
      <c r="WUN35" s="1035"/>
      <c r="WUO35" s="1035"/>
      <c r="WUP35" s="759"/>
      <c r="WUR35" s="759"/>
      <c r="WUS35" s="759"/>
      <c r="WVA35" s="1035"/>
      <c r="WVB35" s="1035"/>
      <c r="WVC35" s="759"/>
      <c r="WVE35" s="759"/>
      <c r="WVF35" s="759"/>
      <c r="WVN35" s="1035"/>
      <c r="WVO35" s="1035"/>
      <c r="WVP35" s="759"/>
      <c r="WVR35" s="759"/>
      <c r="WVS35" s="759"/>
      <c r="WWA35" s="1035"/>
      <c r="WWB35" s="1035"/>
      <c r="WWC35" s="759"/>
      <c r="WWE35" s="759"/>
      <c r="WWF35" s="759"/>
      <c r="WWN35" s="1035"/>
      <c r="WWO35" s="1035"/>
      <c r="WWP35" s="759"/>
      <c r="WWR35" s="759"/>
      <c r="WWS35" s="759"/>
      <c r="WXA35" s="1035"/>
      <c r="WXB35" s="1035"/>
      <c r="WXC35" s="759"/>
      <c r="WXE35" s="759"/>
      <c r="WXF35" s="759"/>
      <c r="WXN35" s="1035"/>
      <c r="WXO35" s="1035"/>
      <c r="WXP35" s="759"/>
      <c r="WXR35" s="759"/>
      <c r="WXS35" s="759"/>
      <c r="WYA35" s="1035"/>
      <c r="WYB35" s="1035"/>
      <c r="WYC35" s="759"/>
      <c r="WYE35" s="759"/>
      <c r="WYF35" s="759"/>
      <c r="WYN35" s="1035"/>
      <c r="WYO35" s="1035"/>
      <c r="WYP35" s="759"/>
      <c r="WYR35" s="759"/>
      <c r="WYS35" s="759"/>
      <c r="WZA35" s="1035"/>
      <c r="WZB35" s="1035"/>
      <c r="WZC35" s="759"/>
      <c r="WZE35" s="759"/>
      <c r="WZF35" s="759"/>
      <c r="WZN35" s="1035"/>
      <c r="WZO35" s="1035"/>
      <c r="WZP35" s="759"/>
      <c r="WZR35" s="759"/>
      <c r="WZS35" s="759"/>
      <c r="XAA35" s="1035"/>
      <c r="XAB35" s="1035"/>
      <c r="XAC35" s="759"/>
      <c r="XAE35" s="759"/>
      <c r="XAF35" s="759"/>
      <c r="XAN35" s="1035"/>
      <c r="XAO35" s="1035"/>
      <c r="XAP35" s="759"/>
      <c r="XAR35" s="759"/>
      <c r="XAS35" s="759"/>
      <c r="XBA35" s="1035"/>
      <c r="XBB35" s="1035"/>
      <c r="XBC35" s="759"/>
      <c r="XBE35" s="759"/>
      <c r="XBF35" s="759"/>
      <c r="XBN35" s="1035"/>
      <c r="XBO35" s="1035"/>
      <c r="XBP35" s="759"/>
      <c r="XBR35" s="759"/>
      <c r="XBS35" s="759"/>
      <c r="XCA35" s="1035"/>
      <c r="XCB35" s="1035"/>
      <c r="XCC35" s="759"/>
      <c r="XCE35" s="759"/>
      <c r="XCF35" s="759"/>
      <c r="XCN35" s="1035"/>
      <c r="XCO35" s="1035"/>
      <c r="XCP35" s="759"/>
      <c r="XCR35" s="759"/>
      <c r="XCS35" s="759"/>
      <c r="XDA35" s="1035"/>
      <c r="XDB35" s="1035"/>
      <c r="XDC35" s="759"/>
      <c r="XDE35" s="759"/>
      <c r="XDF35" s="759"/>
      <c r="XDN35" s="1035"/>
      <c r="XDO35" s="1035"/>
      <c r="XDP35" s="759"/>
      <c r="XDR35" s="759"/>
      <c r="XDS35" s="759"/>
      <c r="XEA35" s="1035"/>
      <c r="XEB35" s="1035"/>
      <c r="XEC35" s="759"/>
      <c r="XEE35" s="759"/>
      <c r="XEF35" s="759"/>
      <c r="XEN35" s="1035"/>
      <c r="XEO35" s="1035"/>
      <c r="XEP35" s="759"/>
      <c r="XER35" s="759"/>
      <c r="XES35" s="759"/>
      <c r="XFA35" s="1035"/>
      <c r="XFB35" s="1035"/>
      <c r="XFC35" s="759"/>
    </row>
    <row r="36" spans="1:1020 1028:2047 2055:3071 3073:5115 5123:6142 6150:9210 9218:10237 10245:11264 11272:12288 12290:13305 13313:14332 14340:15359 15367:16383" s="348" customFormat="1" ht="15" x14ac:dyDescent="0.25">
      <c r="A36" s="956" t="s">
        <v>645</v>
      </c>
      <c r="B36" s="330" t="s">
        <v>646</v>
      </c>
      <c r="C36" s="435"/>
      <c r="D36" s="435"/>
      <c r="E36" s="755"/>
      <c r="F36" s="435"/>
      <c r="G36" s="435"/>
      <c r="H36" s="435"/>
      <c r="I36" s="435"/>
      <c r="J36" s="435"/>
      <c r="K36" s="435"/>
      <c r="L36" s="435"/>
      <c r="M36" s="435"/>
      <c r="N36" s="435"/>
      <c r="O36" s="435"/>
      <c r="P36" s="435"/>
      <c r="Q36" s="811">
        <f>'6. HC (LC)'!Q36</f>
        <v>3.7499999999999999E-2</v>
      </c>
      <c r="R36" s="883">
        <f>'6. HC (LC)'!R36</f>
        <v>3.7499999999999999E-2</v>
      </c>
      <c r="S36" s="957"/>
      <c r="T36" s="958"/>
      <c r="U36" s="879" t="str">
        <f>IF(ISBLANK('6. HC (LC)'!U36),"",'6. HC (LC)'!U36)</f>
        <v/>
      </c>
      <c r="W36" s="219" t="s">
        <v>647</v>
      </c>
    </row>
    <row r="37" spans="1:1020 1028:2047 2055:3071 3073:5115 5123:6142 6150:9210 9218:10237 10245:11264 11272:12288 12290:13305 13313:14332 14340:15359 15367:16383" s="348" customFormat="1" ht="15" x14ac:dyDescent="0.25">
      <c r="A37" s="956" t="s">
        <v>648</v>
      </c>
      <c r="B37" s="330" t="s">
        <v>646</v>
      </c>
      <c r="C37" s="435"/>
      <c r="D37" s="435"/>
      <c r="E37" s="755"/>
      <c r="F37" s="435"/>
      <c r="G37" s="435"/>
      <c r="H37" s="435"/>
      <c r="I37" s="435"/>
      <c r="J37" s="435"/>
      <c r="K37" s="435"/>
      <c r="L37" s="435"/>
      <c r="M37" s="435"/>
      <c r="N37" s="435"/>
      <c r="O37" s="435"/>
      <c r="P37" s="435"/>
      <c r="Q37" s="811">
        <f>'6. HC (LC)'!Q37</f>
        <v>4.1300000000000003E-2</v>
      </c>
      <c r="R37" s="883">
        <f>'6. HC (LC)'!R37</f>
        <v>4.1300000000000003E-2</v>
      </c>
      <c r="S37" s="957"/>
      <c r="T37" s="958"/>
      <c r="U37" s="879" t="str">
        <f>IF(ISBLANK('6. HC (LC)'!U37),"",'6. HC (LC)'!U37)</f>
        <v/>
      </c>
      <c r="W37" s="219" t="s">
        <v>647</v>
      </c>
    </row>
    <row r="38" spans="1:1020 1028:2047 2055:3071 3073:5115 5123:6142 6150:9210 9218:10237 10245:11264 11272:12288 12290:13305 13313:14332 14340:15359 15367:16383" s="348" customFormat="1" ht="12.75" customHeight="1" x14ac:dyDescent="0.25">
      <c r="A38" s="348" t="s">
        <v>649</v>
      </c>
      <c r="B38" s="330" t="str">
        <f>"in '000 "&amp;'Input-FX Rates'!$B$8</f>
        <v>in '000 KRW</v>
      </c>
      <c r="C38" s="435"/>
      <c r="D38" s="435"/>
      <c r="E38" s="755"/>
      <c r="F38" s="435"/>
      <c r="G38" s="435"/>
      <c r="H38" s="435"/>
      <c r="I38" s="435"/>
      <c r="J38" s="435"/>
      <c r="K38" s="435"/>
      <c r="L38" s="435"/>
      <c r="M38" s="435"/>
      <c r="N38" s="435"/>
      <c r="O38" s="435"/>
      <c r="P38" s="435"/>
      <c r="Q38" s="880">
        <f>+'6. HC (LC)'!Q38/'Input-FX Rates'!$H$16</f>
        <v>34.102816053178351</v>
      </c>
      <c r="R38" s="431">
        <f>+'6. HC (LC)'!R38/'Input-FX Rates'!$H$16</f>
        <v>34.102816053178351</v>
      </c>
      <c r="S38" s="957"/>
      <c r="T38" s="958"/>
      <c r="U38" s="879" t="str">
        <f>IF(ISBLANK('6. HC (LC)'!U38),"",'6. HC (LC)'!U38)</f>
        <v/>
      </c>
      <c r="W38" s="348" t="s">
        <v>650</v>
      </c>
    </row>
    <row r="39" spans="1:1020 1028:2047 2055:3071 3073:5115 5123:6142 6150:9210 9218:10237 10245:11264 11272:12288 12290:13305 13313:14332 14340:15359 15367:16383" s="348" customFormat="1" ht="12.75" customHeight="1" x14ac:dyDescent="0.25">
      <c r="A39" s="348" t="s">
        <v>651</v>
      </c>
      <c r="B39" s="330" t="str">
        <f>"in '000 "&amp;'Input-FX Rates'!$B$8</f>
        <v>in '000 KRW</v>
      </c>
      <c r="C39" s="435"/>
      <c r="D39" s="435"/>
      <c r="E39" s="755"/>
      <c r="F39" s="435"/>
      <c r="G39" s="435"/>
      <c r="H39" s="435"/>
      <c r="I39" s="435"/>
      <c r="J39" s="435"/>
      <c r="K39" s="435"/>
      <c r="L39" s="435"/>
      <c r="M39" s="435"/>
      <c r="N39" s="435"/>
      <c r="O39" s="435"/>
      <c r="P39" s="435"/>
      <c r="Q39" s="880">
        <f>+'6. HC (LC)'!Q39/'Input-FX Rates'!$H$16</f>
        <v>5.925960007815176</v>
      </c>
      <c r="R39" s="431">
        <f>+'6. HC (LC)'!R39/'Input-FX Rates'!$H$16</f>
        <v>5.925960007815176</v>
      </c>
      <c r="S39" s="957"/>
      <c r="T39" s="958"/>
      <c r="U39" s="879" t="str">
        <f>IF(ISBLANK('6. HC (LC)'!U39),"",'6. HC (LC)'!U39)</f>
        <v/>
      </c>
      <c r="W39" s="348" t="s">
        <v>652</v>
      </c>
    </row>
  </sheetData>
  <mergeCells count="1263"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</mergeCells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Normal="100" workbookViewId="0">
      <pane xSplit="2" ySplit="7" topLeftCell="C8" activePane="bottomRight" state="frozen"/>
      <selection pane="topRight" activeCell="H16" sqref="H16"/>
      <selection pane="bottomLeft" activeCell="H16" sqref="H16"/>
      <selection pane="bottomRight" activeCell="R15" sqref="R15:S15"/>
    </sheetView>
  </sheetViews>
  <sheetFormatPr defaultColWidth="9.28515625" defaultRowHeight="12.75" customHeight="1" outlineLevelCol="1" x14ac:dyDescent="0.2"/>
  <cols>
    <col min="1" max="1" width="40.28515625" style="220" bestFit="1" customWidth="1"/>
    <col min="2" max="2" width="45" style="220" bestFit="1" customWidth="1"/>
    <col min="3" max="5" width="15.5703125" style="220" customWidth="1"/>
    <col min="6" max="17" width="15.5703125" style="220" hidden="1" customWidth="1" outlineLevel="1"/>
    <col min="18" max="18" width="15.5703125" style="220" customWidth="1" collapsed="1"/>
    <col min="19" max="20" width="15.5703125" style="220" customWidth="1"/>
    <col min="21" max="21" width="49.7109375" style="220" customWidth="1"/>
    <col min="22" max="22" width="4.28515625" style="220" customWidth="1"/>
    <col min="23" max="23" width="91.7109375" style="220" bestFit="1" customWidth="1"/>
    <col min="24" max="16384" width="9.28515625" style="220"/>
  </cols>
  <sheetData>
    <row r="1" spans="1:23" s="458" customFormat="1" ht="19.899999999999999" customHeight="1" x14ac:dyDescent="0.25">
      <c r="A1" s="60" t="str">
        <f>+'0. Instructions'!A1</f>
        <v>Budget 2024</v>
      </c>
      <c r="B1" s="60"/>
      <c r="C1" s="60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57" t="str">
        <f>'Input-FX Rates'!$H$1</f>
        <v>Plant ICH Icheon (242)</v>
      </c>
      <c r="W1" s="389" t="s">
        <v>154</v>
      </c>
    </row>
    <row r="2" spans="1:23" s="458" customFormat="1" ht="19.899999999999999" customHeight="1" thickBot="1" x14ac:dyDescent="0.3">
      <c r="A2" s="55" t="s">
        <v>653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156</v>
      </c>
    </row>
    <row r="4" spans="1:23" ht="22.9" customHeight="1" x14ac:dyDescent="0.2">
      <c r="A4" s="842"/>
      <c r="B4" s="842"/>
      <c r="C4" s="842"/>
      <c r="D4" s="842"/>
      <c r="E4" s="842"/>
      <c r="F4" s="842"/>
      <c r="G4" s="842"/>
      <c r="H4" s="842"/>
      <c r="I4" s="842"/>
      <c r="J4" s="842"/>
      <c r="K4" s="842"/>
      <c r="L4" s="842"/>
      <c r="M4" s="842"/>
      <c r="N4" s="842"/>
      <c r="O4" s="842"/>
      <c r="P4" s="842"/>
      <c r="Q4" s="842"/>
      <c r="R4" s="842"/>
      <c r="S4" s="842"/>
      <c r="T4" s="842"/>
      <c r="U4" s="842"/>
    </row>
    <row r="5" spans="1:23" ht="12.75" customHeight="1" x14ac:dyDescent="0.2">
      <c r="T5" s="457"/>
    </row>
    <row r="6" spans="1:23" ht="19.899999999999999" customHeight="1" x14ac:dyDescent="0.2">
      <c r="A6" s="1027" t="str">
        <f>"in '000 "&amp;'Input-FX Rates'!$B$8</f>
        <v>in '000 KRW</v>
      </c>
      <c r="B6" s="1028"/>
      <c r="C6" s="456">
        <v>2022</v>
      </c>
      <c r="D6" s="1031">
        <v>2023</v>
      </c>
      <c r="E6" s="1028"/>
      <c r="F6" s="1027">
        <v>2024</v>
      </c>
      <c r="G6" s="1027"/>
      <c r="H6" s="1027"/>
      <c r="I6" s="1027"/>
      <c r="J6" s="1027"/>
      <c r="K6" s="1027"/>
      <c r="L6" s="1027"/>
      <c r="M6" s="1027"/>
      <c r="N6" s="1027"/>
      <c r="O6" s="1027"/>
      <c r="P6" s="1027"/>
      <c r="Q6" s="1030"/>
      <c r="R6" s="1031">
        <v>2024</v>
      </c>
      <c r="S6" s="1028"/>
      <c r="T6" s="644" t="s">
        <v>190</v>
      </c>
      <c r="U6" s="186" t="s">
        <v>208</v>
      </c>
      <c r="W6" s="9" t="s">
        <v>654</v>
      </c>
    </row>
    <row r="7" spans="1:23" ht="19.899999999999999" customHeight="1" x14ac:dyDescent="0.2">
      <c r="A7" s="1027"/>
      <c r="B7" s="1028"/>
      <c r="C7" s="456" t="s">
        <v>191</v>
      </c>
      <c r="D7" s="303" t="s">
        <v>15</v>
      </c>
      <c r="E7" s="644" t="s">
        <v>19</v>
      </c>
      <c r="F7" s="186" t="s">
        <v>321</v>
      </c>
      <c r="G7" s="186" t="s">
        <v>322</v>
      </c>
      <c r="H7" s="186" t="s">
        <v>323</v>
      </c>
      <c r="I7" s="186" t="s">
        <v>324</v>
      </c>
      <c r="J7" s="186" t="s">
        <v>325</v>
      </c>
      <c r="K7" s="186" t="s">
        <v>326</v>
      </c>
      <c r="L7" s="186" t="s">
        <v>327</v>
      </c>
      <c r="M7" s="186" t="s">
        <v>328</v>
      </c>
      <c r="N7" s="186" t="s">
        <v>329</v>
      </c>
      <c r="O7" s="186" t="s">
        <v>330</v>
      </c>
      <c r="P7" s="186" t="s">
        <v>331</v>
      </c>
      <c r="Q7" s="187" t="s">
        <v>332</v>
      </c>
      <c r="R7" s="303" t="s">
        <v>251</v>
      </c>
      <c r="S7" s="644" t="s">
        <v>15</v>
      </c>
      <c r="T7" s="644" t="s">
        <v>422</v>
      </c>
      <c r="U7" s="186"/>
      <c r="W7" s="9" t="s">
        <v>196</v>
      </c>
    </row>
    <row r="8" spans="1:23" ht="15.75" x14ac:dyDescent="0.2">
      <c r="A8" s="213" t="s">
        <v>655</v>
      </c>
      <c r="B8" s="440"/>
      <c r="C8" s="441">
        <f>'P&amp;L'!D8</f>
        <v>8731433.4010000005</v>
      </c>
      <c r="D8" s="286">
        <f>'P&amp;L'!E8</f>
        <v>16410304.291999999</v>
      </c>
      <c r="E8" s="264">
        <f>'P&amp;L'!H8</f>
        <v>21211769.708999999</v>
      </c>
      <c r="F8" s="78">
        <f>'P&amp;L_seasonal'!D8</f>
        <v>1739629.5279999999</v>
      </c>
      <c r="G8" s="78">
        <f>'P&amp;L_seasonal'!E8</f>
        <v>1739642.172</v>
      </c>
      <c r="H8" s="78">
        <f>'P&amp;L_seasonal'!F8</f>
        <v>1695770.175</v>
      </c>
      <c r="I8" s="78">
        <f>'P&amp;L_seasonal'!G8</f>
        <v>1739642.172</v>
      </c>
      <c r="J8" s="78">
        <f>'P&amp;L_seasonal'!H8</f>
        <v>1783555.132</v>
      </c>
      <c r="K8" s="78">
        <f>'P&amp;L_seasonal'!I8</f>
        <v>1664422.378</v>
      </c>
      <c r="L8" s="78">
        <f>'P&amp;L_seasonal'!J8</f>
        <v>1798104.8529999999</v>
      </c>
      <c r="M8" s="78">
        <f>'P&amp;L_seasonal'!K8</f>
        <v>1753455.7420000001</v>
      </c>
      <c r="N8" s="78">
        <f>'P&amp;L_seasonal'!L8</f>
        <v>1575219.5379999999</v>
      </c>
      <c r="O8" s="78">
        <f>'P&amp;L_seasonal'!M8</f>
        <v>1798018.027</v>
      </c>
      <c r="P8" s="78">
        <f>'P&amp;L_seasonal'!N8</f>
        <v>1753426.3359999999</v>
      </c>
      <c r="Q8" s="78">
        <f>'P&amp;L_seasonal'!O8</f>
        <v>1530643.757</v>
      </c>
      <c r="R8" s="286">
        <f>+'2. Variable (LC)'!L6</f>
        <v>0</v>
      </c>
      <c r="S8" s="264">
        <f>'P&amp;L'!I8</f>
        <v>20571529.809999999</v>
      </c>
      <c r="T8" s="264">
        <f t="shared" ref="T8:T21" si="0">S8-E8</f>
        <v>-640239.89900000021</v>
      </c>
      <c r="U8" s="400"/>
      <c r="W8" s="9" t="s">
        <v>656</v>
      </c>
    </row>
    <row r="9" spans="1:23" ht="15.75" x14ac:dyDescent="0.2">
      <c r="A9" s="213" t="s">
        <v>657</v>
      </c>
      <c r="B9" s="440"/>
      <c r="C9" s="441">
        <f>'P&amp;L'!D13</f>
        <v>8376938.392</v>
      </c>
      <c r="D9" s="286">
        <f>'P&amp;L'!E13</f>
        <v>16410304.291999999</v>
      </c>
      <c r="E9" s="264">
        <f>'P&amp;L'!H13</f>
        <v>21160093.208999999</v>
      </c>
      <c r="F9" s="78">
        <f>'P&amp;L_seasonal'!D13</f>
        <v>1739629.5279999999</v>
      </c>
      <c r="G9" s="78">
        <f>'P&amp;L_seasonal'!E13</f>
        <v>1739642.172</v>
      </c>
      <c r="H9" s="78">
        <f>'P&amp;L_seasonal'!F13</f>
        <v>1695770.175</v>
      </c>
      <c r="I9" s="78">
        <f>'P&amp;L_seasonal'!G13</f>
        <v>1739642.172</v>
      </c>
      <c r="J9" s="78">
        <f>'P&amp;L_seasonal'!H13</f>
        <v>1783555.132</v>
      </c>
      <c r="K9" s="78">
        <f>'P&amp;L_seasonal'!I13</f>
        <v>1664422.378</v>
      </c>
      <c r="L9" s="78">
        <f>'P&amp;L_seasonal'!J13</f>
        <v>1798104.8529999999</v>
      </c>
      <c r="M9" s="78">
        <f>'P&amp;L_seasonal'!K13</f>
        <v>1753455.7420000001</v>
      </c>
      <c r="N9" s="78">
        <f>'P&amp;L_seasonal'!L13</f>
        <v>1575219.5379999999</v>
      </c>
      <c r="O9" s="78">
        <f>'P&amp;L_seasonal'!M13</f>
        <v>1798018.027</v>
      </c>
      <c r="P9" s="78">
        <f>'P&amp;L_seasonal'!N13</f>
        <v>1753426.3359999999</v>
      </c>
      <c r="Q9" s="78">
        <f>'P&amp;L_seasonal'!O13</f>
        <v>1530643.757</v>
      </c>
      <c r="R9" s="286"/>
      <c r="S9" s="264">
        <f>'P&amp;L'!I13</f>
        <v>20571529.809999999</v>
      </c>
      <c r="T9" s="264">
        <f t="shared" si="0"/>
        <v>-588563.39900000021</v>
      </c>
      <c r="U9" s="400"/>
      <c r="W9" s="9"/>
    </row>
    <row r="10" spans="1:23" s="334" customFormat="1" ht="15.75" x14ac:dyDescent="0.2">
      <c r="A10" s="851" t="s">
        <v>658</v>
      </c>
      <c r="B10" s="852" t="s">
        <v>659</v>
      </c>
      <c r="C10" s="853">
        <f>KeyData!D8</f>
        <v>1096709.209</v>
      </c>
      <c r="D10" s="854">
        <f>KeyData!E8</f>
        <v>650056.82700000005</v>
      </c>
      <c r="E10" s="855">
        <f>KeyData!G8</f>
        <v>3415962.44</v>
      </c>
      <c r="F10" s="856">
        <f>KeyData_seasonal!D8</f>
        <v>2945412.1349999998</v>
      </c>
      <c r="G10" s="856">
        <f>KeyData_seasonal!E8</f>
        <v>2960473.4899999998</v>
      </c>
      <c r="H10" s="856">
        <f>KeyData_seasonal!F8</f>
        <v>2682597.5809999998</v>
      </c>
      <c r="I10" s="856">
        <f>KeyData_seasonal!G8</f>
        <v>2430969.8969999999</v>
      </c>
      <c r="J10" s="856">
        <f>KeyData_seasonal!H8</f>
        <v>2273493.858</v>
      </c>
      <c r="K10" s="856">
        <f>KeyData_seasonal!I8</f>
        <v>2154522.2960000001</v>
      </c>
      <c r="L10" s="856">
        <f>KeyData_seasonal!J8</f>
        <v>2009297.87</v>
      </c>
      <c r="M10" s="856">
        <f>KeyData_seasonal!K8</f>
        <v>1830507.78</v>
      </c>
      <c r="N10" s="856">
        <f>KeyData_seasonal!L8</f>
        <v>1533703.206</v>
      </c>
      <c r="O10" s="856">
        <f>KeyData_seasonal!M8</f>
        <v>1419830.94</v>
      </c>
      <c r="P10" s="856">
        <f>KeyData_seasonal!N8</f>
        <v>1406879.284</v>
      </c>
      <c r="Q10" s="856">
        <f>KeyData_seasonal!O8</f>
        <v>1199751.1950000001</v>
      </c>
      <c r="R10" s="854"/>
      <c r="S10" s="855">
        <f>KeyData!H8</f>
        <v>1199751.1950000001</v>
      </c>
      <c r="T10" s="855">
        <f t="shared" si="0"/>
        <v>-2216211.2450000001</v>
      </c>
      <c r="U10" s="442"/>
      <c r="W10" s="857" t="s">
        <v>660</v>
      </c>
    </row>
    <row r="11" spans="1:23" ht="19.899999999999999" customHeight="1" x14ac:dyDescent="0.2">
      <c r="A11" s="455"/>
      <c r="B11" s="453" t="s">
        <v>661</v>
      </c>
      <c r="C11" s="451">
        <f>KeyData!D9</f>
        <v>444838.22200000001</v>
      </c>
      <c r="D11" s="450">
        <f>KeyData!E9</f>
        <v>276355.734</v>
      </c>
      <c r="E11" s="448">
        <f>KeyData!G9</f>
        <v>376213.61</v>
      </c>
      <c r="F11" s="449">
        <f>KeyData_seasonal!D9</f>
        <v>310350.94500000001</v>
      </c>
      <c r="G11" s="449">
        <f>KeyData_seasonal!E9</f>
        <v>327981.38</v>
      </c>
      <c r="H11" s="449">
        <f>KeyData_seasonal!F9</f>
        <v>304574.97700000001</v>
      </c>
      <c r="I11" s="449">
        <f>KeyData_seasonal!G9</f>
        <v>285129.82400000002</v>
      </c>
      <c r="J11" s="449">
        <f>KeyData_seasonal!H9</f>
        <v>279012.73300000001</v>
      </c>
      <c r="K11" s="449">
        <f>KeyData_seasonal!I9</f>
        <v>265309.40000000002</v>
      </c>
      <c r="L11" s="449">
        <f>KeyData_seasonal!J9</f>
        <v>246413.03800000003</v>
      </c>
      <c r="M11" s="449">
        <f>KeyData_seasonal!K9</f>
        <v>239246.30300000004</v>
      </c>
      <c r="N11" s="449">
        <f>KeyData_seasonal!L9</f>
        <v>222686.79400000005</v>
      </c>
      <c r="O11" s="449">
        <f>KeyData_seasonal!M9</f>
        <v>223824.34000000005</v>
      </c>
      <c r="P11" s="449">
        <f>KeyData_seasonal!N9</f>
        <v>205417.37500000006</v>
      </c>
      <c r="Q11" s="449">
        <f>KeyData_seasonal!O9</f>
        <v>189978.14500000005</v>
      </c>
      <c r="R11" s="450"/>
      <c r="S11" s="448">
        <f>KeyData!H9</f>
        <v>189978.14499999999</v>
      </c>
      <c r="T11" s="448">
        <f t="shared" si="0"/>
        <v>-186235.465</v>
      </c>
      <c r="U11" s="442"/>
      <c r="W11" s="9" t="s">
        <v>662</v>
      </c>
    </row>
    <row r="12" spans="1:23" ht="19.899999999999999" customHeight="1" x14ac:dyDescent="0.2">
      <c r="A12" s="455"/>
      <c r="B12" s="453" t="s">
        <v>663</v>
      </c>
      <c r="C12" s="451">
        <f>KeyData!D10+KeyData!D11</f>
        <v>0</v>
      </c>
      <c r="D12" s="450">
        <f>KeyData!E10+KeyData!E11</f>
        <v>118023.084</v>
      </c>
      <c r="E12" s="448">
        <f>KeyData!G10+KeyData!G11</f>
        <v>127311.83</v>
      </c>
      <c r="F12" s="449">
        <f>KeyData_seasonal!D10+KeyData_seasonal!D11</f>
        <v>114211.19</v>
      </c>
      <c r="G12" s="449">
        <f>KeyData_seasonal!E10+KeyData_seasonal!E11</f>
        <v>171318.11</v>
      </c>
      <c r="H12" s="449">
        <f>KeyData_seasonal!F10+KeyData_seasonal!F11</f>
        <v>138933.60399999999</v>
      </c>
      <c r="I12" s="449">
        <f>KeyData_seasonal!G10+KeyData_seasonal!G11</f>
        <v>114212.07299999999</v>
      </c>
      <c r="J12" s="449">
        <f>KeyData_seasonal!H10+KeyData_seasonal!H11</f>
        <v>117280.12499999999</v>
      </c>
      <c r="K12" s="449">
        <f>KeyData_seasonal!I10+KeyData_seasonal!I11</f>
        <v>136195.89599999998</v>
      </c>
      <c r="L12" s="449">
        <f>KeyData_seasonal!J10+KeyData_seasonal!J11</f>
        <v>147870.83199999997</v>
      </c>
      <c r="M12" s="449">
        <f>KeyData_seasonal!K10+KeyData_seasonal!K11</f>
        <v>143971.47699999996</v>
      </c>
      <c r="N12" s="449">
        <f>KeyData_seasonal!L10+KeyData_seasonal!L11</f>
        <v>102724.41199999995</v>
      </c>
      <c r="O12" s="449">
        <f>KeyData_seasonal!M10+KeyData_seasonal!M11</f>
        <v>118290.59999999995</v>
      </c>
      <c r="P12" s="449">
        <f>KeyData_seasonal!N10+KeyData_seasonal!N11</f>
        <v>143968.90899999996</v>
      </c>
      <c r="Q12" s="449">
        <f>KeyData_seasonal!O10+KeyData_seasonal!O11</f>
        <v>99610.049999999959</v>
      </c>
      <c r="R12" s="450"/>
      <c r="S12" s="448">
        <f>KeyData!H10+KeyData!H11</f>
        <v>99610.05</v>
      </c>
      <c r="T12" s="448">
        <f t="shared" si="0"/>
        <v>-27701.78</v>
      </c>
      <c r="U12" s="442"/>
      <c r="W12" s="9" t="s">
        <v>664</v>
      </c>
    </row>
    <row r="13" spans="1:23" ht="19.899999999999999" customHeight="1" x14ac:dyDescent="0.2">
      <c r="A13" s="455"/>
      <c r="B13" s="453" t="s">
        <v>665</v>
      </c>
      <c r="C13" s="451">
        <f>KeyData!D12</f>
        <v>651870.98699999996</v>
      </c>
      <c r="D13" s="450">
        <f>KeyData!E12</f>
        <v>255678.00899999999</v>
      </c>
      <c r="E13" s="448">
        <f>KeyData!G12</f>
        <v>2912437</v>
      </c>
      <c r="F13" s="449">
        <f>KeyData_seasonal!D12</f>
        <v>2520850</v>
      </c>
      <c r="G13" s="449">
        <f>KeyData_seasonal!E12</f>
        <v>2461174</v>
      </c>
      <c r="H13" s="449">
        <f>KeyData_seasonal!F12</f>
        <v>2239089</v>
      </c>
      <c r="I13" s="449">
        <f>KeyData_seasonal!G12</f>
        <v>2031628</v>
      </c>
      <c r="J13" s="449">
        <f>KeyData_seasonal!H12</f>
        <v>1877201</v>
      </c>
      <c r="K13" s="449">
        <f>KeyData_seasonal!I12</f>
        <v>1753017</v>
      </c>
      <c r="L13" s="449">
        <f>KeyData_seasonal!J12</f>
        <v>1615014</v>
      </c>
      <c r="M13" s="449">
        <f>KeyData_seasonal!K12</f>
        <v>1447290</v>
      </c>
      <c r="N13" s="449">
        <f>KeyData_seasonal!L12</f>
        <v>1208292</v>
      </c>
      <c r="O13" s="449">
        <f>KeyData_seasonal!M12</f>
        <v>1077716</v>
      </c>
      <c r="P13" s="449">
        <f>KeyData_seasonal!N12</f>
        <v>1057493</v>
      </c>
      <c r="Q13" s="449">
        <f>KeyData_seasonal!O12</f>
        <v>910163</v>
      </c>
      <c r="R13" s="450"/>
      <c r="S13" s="448">
        <f>KeyData!H12</f>
        <v>910163</v>
      </c>
      <c r="T13" s="448">
        <f t="shared" si="0"/>
        <v>-2002274</v>
      </c>
      <c r="U13" s="442"/>
      <c r="W13" s="9"/>
    </row>
    <row r="14" spans="1:23" s="439" customFormat="1" ht="19.899999999999999" customHeight="1" x14ac:dyDescent="0.2">
      <c r="A14" s="455"/>
      <c r="B14" s="453" t="s">
        <v>666</v>
      </c>
      <c r="C14" s="682">
        <f>IFERROR(C8/C10,0)</f>
        <v>7.961484529669888</v>
      </c>
      <c r="D14" s="683">
        <f>IFERROR(D8/D10,0)</f>
        <v>25.244414965585769</v>
      </c>
      <c r="E14" s="452">
        <f>IFERROR(E8/E10,0)</f>
        <v>6.2096027346834646</v>
      </c>
      <c r="F14" s="731"/>
      <c r="G14" s="731"/>
      <c r="H14" s="731"/>
      <c r="I14" s="731"/>
      <c r="J14" s="731"/>
      <c r="K14" s="731"/>
      <c r="L14" s="731"/>
      <c r="M14" s="731"/>
      <c r="N14" s="731"/>
      <c r="O14" s="731"/>
      <c r="P14" s="731"/>
      <c r="Q14" s="454">
        <f>'5.1 Inventory (LC)'!P47</f>
        <v>17.146496620076295</v>
      </c>
      <c r="R14" s="450"/>
      <c r="S14" s="452">
        <f>'5.1 Inventory (LC)'!P47</f>
        <v>17.146496620076295</v>
      </c>
      <c r="T14" s="452">
        <f t="shared" si="0"/>
        <v>10.936893885392831</v>
      </c>
      <c r="U14" s="442"/>
      <c r="V14" s="220"/>
      <c r="W14" s="9"/>
    </row>
    <row r="15" spans="1:23" s="439" customFormat="1" ht="19.899999999999999" customHeight="1" x14ac:dyDescent="0.2">
      <c r="A15" s="455"/>
      <c r="B15" s="453" t="s">
        <v>667</v>
      </c>
      <c r="C15" s="732">
        <v>21.7</v>
      </c>
      <c r="D15" s="733">
        <v>24.7</v>
      </c>
      <c r="E15" s="734">
        <v>22.9</v>
      </c>
      <c r="F15" s="731"/>
      <c r="G15" s="731"/>
      <c r="H15" s="731"/>
      <c r="I15" s="731"/>
      <c r="J15" s="731"/>
      <c r="K15" s="731"/>
      <c r="L15" s="731"/>
      <c r="M15" s="731"/>
      <c r="N15" s="731"/>
      <c r="O15" s="731"/>
      <c r="P15" s="731"/>
      <c r="Q15" s="731"/>
      <c r="R15" s="790"/>
      <c r="S15" s="452">
        <f>+'5.1 Inventory (LC)'!Q47</f>
        <v>9.9349616044776425</v>
      </c>
      <c r="T15" s="452">
        <f t="shared" si="0"/>
        <v>-12.965038395522356</v>
      </c>
      <c r="U15" s="442"/>
      <c r="V15" s="220"/>
      <c r="W15" s="9" t="s">
        <v>668</v>
      </c>
    </row>
    <row r="16" spans="1:23" s="334" customFormat="1" ht="19.899999999999999" customHeight="1" x14ac:dyDescent="0.2">
      <c r="A16" s="858"/>
      <c r="B16" s="852" t="s">
        <v>669</v>
      </c>
      <c r="C16" s="853">
        <f>KeyData!D14</f>
        <v>2455884.02</v>
      </c>
      <c r="D16" s="854">
        <f>KeyData!E14</f>
        <v>2653161.111</v>
      </c>
      <c r="E16" s="855">
        <f>KeyData!G14</f>
        <v>3729757.398</v>
      </c>
      <c r="F16" s="856">
        <f>KeyData_seasonal!D14</f>
        <v>3764489.145</v>
      </c>
      <c r="G16" s="856">
        <f>KeyData_seasonal!E14</f>
        <v>3752295.0359999998</v>
      </c>
      <c r="H16" s="856">
        <f>KeyData_seasonal!F14</f>
        <v>3886240.7209999999</v>
      </c>
      <c r="I16" s="856">
        <f>KeyData_seasonal!G14</f>
        <v>3663936.8190000001</v>
      </c>
      <c r="J16" s="856">
        <f>KeyData_seasonal!H14</f>
        <v>3647013.3260000004</v>
      </c>
      <c r="K16" s="856">
        <f>KeyData_seasonal!I14</f>
        <v>3574073.2420000006</v>
      </c>
      <c r="L16" s="856">
        <f>KeyData_seasonal!J14</f>
        <v>3633755.2190000005</v>
      </c>
      <c r="M16" s="856">
        <f>KeyData_seasonal!K14</f>
        <v>3614976.2460000003</v>
      </c>
      <c r="N16" s="856">
        <f>KeyData_seasonal!L14</f>
        <v>3461580.4250000003</v>
      </c>
      <c r="O16" s="856">
        <f>KeyData_seasonal!M14</f>
        <v>3571984.2620000001</v>
      </c>
      <c r="P16" s="856">
        <f>KeyData_seasonal!N14</f>
        <v>3638934.5559999999</v>
      </c>
      <c r="Q16" s="856">
        <f>KeyData_seasonal!O14</f>
        <v>3389678.0019999999</v>
      </c>
      <c r="R16" s="859"/>
      <c r="S16" s="855">
        <f>KeyData!H14</f>
        <v>3389678.0019999999</v>
      </c>
      <c r="T16" s="855">
        <f t="shared" si="0"/>
        <v>-340079.39600000018</v>
      </c>
      <c r="U16" s="442"/>
      <c r="W16" s="857" t="s">
        <v>670</v>
      </c>
    </row>
    <row r="17" spans="1:23" ht="19.899999999999999" customHeight="1" x14ac:dyDescent="0.2">
      <c r="A17" s="446"/>
      <c r="B17" s="445" t="s">
        <v>671</v>
      </c>
      <c r="C17" s="444">
        <f>IFERROR(C16/C$8,0)</f>
        <v>0.28126928388627814</v>
      </c>
      <c r="D17" s="251">
        <f>IFERROR(D16/D$8,0)</f>
        <v>0.16167653346278366</v>
      </c>
      <c r="E17" s="253">
        <f>IFERROR(E16/E$8,0)</f>
        <v>0.17583433391781031</v>
      </c>
      <c r="F17" s="221">
        <f t="shared" ref="F17:Q17" si="1">IFERROR(F16/$S$8,0)</f>
        <v>0.18299509952682513</v>
      </c>
      <c r="G17" s="221">
        <f t="shared" si="1"/>
        <v>0.18240233325651731</v>
      </c>
      <c r="H17" s="221">
        <f t="shared" si="1"/>
        <v>0.18891354978912966</v>
      </c>
      <c r="I17" s="221">
        <f t="shared" si="1"/>
        <v>0.17810716329025411</v>
      </c>
      <c r="J17" s="221">
        <f t="shared" si="1"/>
        <v>0.17728449754024397</v>
      </c>
      <c r="K17" s="221">
        <f t="shared" si="1"/>
        <v>0.17373881646189543</v>
      </c>
      <c r="L17" s="221">
        <f t="shared" si="1"/>
        <v>0.17664000939947599</v>
      </c>
      <c r="M17" s="221">
        <f t="shared" si="1"/>
        <v>0.17572714714890716</v>
      </c>
      <c r="N17" s="221">
        <f t="shared" si="1"/>
        <v>0.16827044254712142</v>
      </c>
      <c r="O17" s="221">
        <f t="shared" si="1"/>
        <v>0.17363726932275245</v>
      </c>
      <c r="P17" s="221">
        <f t="shared" si="1"/>
        <v>0.17689178148681398</v>
      </c>
      <c r="Q17" s="221">
        <f t="shared" si="1"/>
        <v>0.16477520307470025</v>
      </c>
      <c r="R17" s="443"/>
      <c r="S17" s="253">
        <f>IFERROR(S16/S$8,0)</f>
        <v>0.16477520307470025</v>
      </c>
      <c r="T17" s="253">
        <f t="shared" si="0"/>
        <v>-1.1059130843110054E-2</v>
      </c>
      <c r="U17" s="442"/>
      <c r="W17" s="9" t="s">
        <v>672</v>
      </c>
    </row>
    <row r="18" spans="1:23" s="334" customFormat="1" ht="19.899999999999999" customHeight="1" x14ac:dyDescent="0.2">
      <c r="A18" s="860"/>
      <c r="B18" s="852" t="s">
        <v>673</v>
      </c>
      <c r="C18" s="861">
        <f>KeyData!D17</f>
        <v>2680028.9780000001</v>
      </c>
      <c r="D18" s="862">
        <f>KeyData!E17</f>
        <v>1638242.443</v>
      </c>
      <c r="E18" s="863">
        <f>KeyData!G17</f>
        <v>1797179.662</v>
      </c>
      <c r="F18" s="864">
        <f>KeyData_seasonal!D17</f>
        <v>2083829.2349999999</v>
      </c>
      <c r="G18" s="864">
        <f>KeyData_seasonal!E17</f>
        <v>2255250.6599999997</v>
      </c>
      <c r="H18" s="864">
        <f>KeyData_seasonal!F17</f>
        <v>2592590.2669999995</v>
      </c>
      <c r="I18" s="864">
        <f>KeyData_seasonal!G17</f>
        <v>2700968.1899999995</v>
      </c>
      <c r="J18" s="864">
        <f>KeyData_seasonal!H17</f>
        <v>2670121.3189999997</v>
      </c>
      <c r="K18" s="864">
        <f>KeyData_seasonal!I17</f>
        <v>2650427.9899999998</v>
      </c>
      <c r="L18" s="864">
        <f>KeyData_seasonal!J17</f>
        <v>2666298.61</v>
      </c>
      <c r="M18" s="864">
        <f>KeyData_seasonal!K17</f>
        <v>2987168.4</v>
      </c>
      <c r="N18" s="864">
        <f>KeyData_seasonal!L17</f>
        <v>3037535.9440000001</v>
      </c>
      <c r="O18" s="864">
        <f>KeyData_seasonal!M17</f>
        <v>3076927.9050000003</v>
      </c>
      <c r="P18" s="864">
        <f>KeyData_seasonal!N17</f>
        <v>3015676.0960000004</v>
      </c>
      <c r="Q18" s="864">
        <f>KeyData_seasonal!O17</f>
        <v>2579924.8140000002</v>
      </c>
      <c r="R18" s="447"/>
      <c r="S18" s="863">
        <f>KeyData!H17</f>
        <v>2579924.8139999998</v>
      </c>
      <c r="T18" s="863">
        <f t="shared" si="0"/>
        <v>782745.15199999977</v>
      </c>
      <c r="U18" s="442"/>
      <c r="W18" s="857"/>
    </row>
    <row r="19" spans="1:23" ht="19.899999999999999" customHeight="1" x14ac:dyDescent="0.2">
      <c r="A19" s="446"/>
      <c r="B19" s="445" t="s">
        <v>674</v>
      </c>
      <c r="C19" s="444">
        <f>IFERROR(C18/C$8,0)</f>
        <v>0.30694032181394865</v>
      </c>
      <c r="D19" s="251">
        <f>IFERROR(D18/D$8,0)</f>
        <v>9.9830107586648523E-2</v>
      </c>
      <c r="E19" s="253">
        <f>IFERROR(E18/E$8,0)</f>
        <v>8.4725588041693181E-2</v>
      </c>
      <c r="F19" s="221">
        <f t="shared" ref="F19:Q19" si="2">IFERROR(F18/$S$8,0)</f>
        <v>0.10129675596547187</v>
      </c>
      <c r="G19" s="221">
        <f t="shared" si="2"/>
        <v>0.10962970089388796</v>
      </c>
      <c r="H19" s="221">
        <f t="shared" si="2"/>
        <v>0.12602807331031449</v>
      </c>
      <c r="I19" s="221">
        <f t="shared" si="2"/>
        <v>0.13129641864004862</v>
      </c>
      <c r="J19" s="221">
        <f t="shared" si="2"/>
        <v>0.12979692534592302</v>
      </c>
      <c r="K19" s="221">
        <f t="shared" si="2"/>
        <v>0.12883961545298414</v>
      </c>
      <c r="L19" s="221">
        <f t="shared" si="2"/>
        <v>0.12961110012848384</v>
      </c>
      <c r="M19" s="221">
        <f t="shared" si="2"/>
        <v>0.1452088603808119</v>
      </c>
      <c r="N19" s="221">
        <f t="shared" si="2"/>
        <v>0.14765727060918082</v>
      </c>
      <c r="O19" s="221">
        <f t="shared" si="2"/>
        <v>0.14957214817851217</v>
      </c>
      <c r="P19" s="221">
        <f t="shared" si="2"/>
        <v>0.14659464433870417</v>
      </c>
      <c r="Q19" s="221">
        <f t="shared" si="2"/>
        <v>0.12541239459721057</v>
      </c>
      <c r="R19" s="443"/>
      <c r="S19" s="253">
        <f>IFERROR(S18/S$8,0)</f>
        <v>0.12541239459721057</v>
      </c>
      <c r="T19" s="253">
        <f t="shared" si="0"/>
        <v>4.0686806555517388E-2</v>
      </c>
      <c r="U19" s="442"/>
      <c r="W19" s="9"/>
    </row>
    <row r="20" spans="1:23" ht="19.899999999999999" customHeight="1" x14ac:dyDescent="0.2">
      <c r="A20" s="213" t="s">
        <v>658</v>
      </c>
      <c r="B20" s="440"/>
      <c r="C20" s="441">
        <f>C10+C16-C18</f>
        <v>872564.25100000016</v>
      </c>
      <c r="D20" s="286">
        <f>D10+D16-D18</f>
        <v>1664975.4950000001</v>
      </c>
      <c r="E20" s="264">
        <f>E10+E16-E18</f>
        <v>5348540.175999999</v>
      </c>
      <c r="F20" s="78">
        <f>KeyData_seasonal!D19</f>
        <v>4626072.0449999999</v>
      </c>
      <c r="G20" s="78">
        <f>KeyData_seasonal!E19</f>
        <v>4457517.8660000004</v>
      </c>
      <c r="H20" s="78">
        <f>KeyData_seasonal!F19</f>
        <v>3976248.0349999997</v>
      </c>
      <c r="I20" s="78">
        <f>KeyData_seasonal!G19</f>
        <v>3393938.5260000005</v>
      </c>
      <c r="J20" s="78">
        <f>KeyData_seasonal!H19</f>
        <v>3250385.8650000007</v>
      </c>
      <c r="K20" s="78">
        <f>KeyData_seasonal!I19</f>
        <v>3078167.5480000009</v>
      </c>
      <c r="L20" s="78">
        <f>KeyData_seasonal!J19</f>
        <v>2976754.4790000007</v>
      </c>
      <c r="M20" s="78">
        <f>KeyData_seasonal!K19</f>
        <v>2458315.6260000006</v>
      </c>
      <c r="N20" s="78">
        <f>KeyData_seasonal!L19</f>
        <v>1957747.6869999999</v>
      </c>
      <c r="O20" s="78">
        <f>KeyData_seasonal!M19</f>
        <v>1914887.2969999993</v>
      </c>
      <c r="P20" s="78">
        <f>KeyData_seasonal!N19</f>
        <v>2030137.7439999995</v>
      </c>
      <c r="Q20" s="78">
        <f>KeyData_seasonal!O19</f>
        <v>2009504.3829999994</v>
      </c>
      <c r="R20" s="286"/>
      <c r="S20" s="264">
        <f>S10+S16-S18</f>
        <v>2009504.3829999999</v>
      </c>
      <c r="T20" s="264">
        <f t="shared" si="0"/>
        <v>-3339035.7929999991</v>
      </c>
      <c r="U20" s="442"/>
      <c r="W20" s="9"/>
    </row>
    <row r="21" spans="1:23" ht="19.899999999999999" customHeight="1" x14ac:dyDescent="0.2">
      <c r="A21" s="400"/>
      <c r="B21" s="898" t="s">
        <v>674</v>
      </c>
      <c r="C21" s="899">
        <f>IFERROR(C20/C$8,0)</f>
        <v>9.9933677659393982E-2</v>
      </c>
      <c r="D21" s="900">
        <f>IFERROR(D20/D$8,0)</f>
        <v>0.10145914818969404</v>
      </c>
      <c r="E21" s="901">
        <f>IFERROR(E20/E$8,0)</f>
        <v>0.25214964377680626</v>
      </c>
      <c r="F21" s="902">
        <f t="shared" ref="F21:Q21" si="3">IFERROR(F20/$S$8,0)</f>
        <v>0.22487739549400096</v>
      </c>
      <c r="G21" s="902">
        <f t="shared" si="3"/>
        <v>0.21668382989354357</v>
      </c>
      <c r="H21" s="902">
        <f t="shared" si="3"/>
        <v>0.19328888379838</v>
      </c>
      <c r="I21" s="902">
        <f t="shared" si="3"/>
        <v>0.16498231086101228</v>
      </c>
      <c r="J21" s="902">
        <f t="shared" si="3"/>
        <v>0.15800409084889544</v>
      </c>
      <c r="K21" s="902">
        <f t="shared" si="3"/>
        <v>0.14963240830556399</v>
      </c>
      <c r="L21" s="902">
        <f t="shared" si="3"/>
        <v>0.14470263060129707</v>
      </c>
      <c r="M21" s="902">
        <f t="shared" si="3"/>
        <v>0.11950086593973153</v>
      </c>
      <c r="N21" s="902">
        <f t="shared" si="3"/>
        <v>9.5167821989024945E-2</v>
      </c>
      <c r="O21" s="902">
        <f t="shared" si="3"/>
        <v>9.3084341061944548E-2</v>
      </c>
      <c r="P21" s="902">
        <f t="shared" si="3"/>
        <v>9.8686765775345103E-2</v>
      </c>
      <c r="Q21" s="902">
        <f t="shared" si="3"/>
        <v>9.7683760107289741E-2</v>
      </c>
      <c r="R21" s="900"/>
      <c r="S21" s="901">
        <f>IFERROR(S20/S$8,0)</f>
        <v>9.7683760107289755E-2</v>
      </c>
      <c r="T21" s="901">
        <f t="shared" si="0"/>
        <v>-0.15446588366951652</v>
      </c>
      <c r="U21" s="442"/>
      <c r="W21" s="9" t="s">
        <v>675</v>
      </c>
    </row>
    <row r="22" spans="1:23" ht="19.899999999999999" customHeight="1" x14ac:dyDescent="0.2">
      <c r="A22" s="213" t="s">
        <v>676</v>
      </c>
      <c r="B22" s="440"/>
      <c r="C22" s="441">
        <f>KeyData!D49</f>
        <v>769542.08100000012</v>
      </c>
      <c r="D22" s="286">
        <f>KeyData!E49</f>
        <v>660652.26500000001</v>
      </c>
      <c r="E22" s="264">
        <f>KeyData!G49</f>
        <v>472024.78900000005</v>
      </c>
      <c r="F22" s="78">
        <f>KeyData_seasonal!D49</f>
        <v>41048.437000000005</v>
      </c>
      <c r="G22" s="78">
        <f>KeyData_seasonal!E49</f>
        <v>41048.437000000005</v>
      </c>
      <c r="H22" s="78">
        <f>KeyData_seasonal!F49</f>
        <v>41048.437000000005</v>
      </c>
      <c r="I22" s="78">
        <f>KeyData_seasonal!G49</f>
        <v>41048.437000000005</v>
      </c>
      <c r="J22" s="78">
        <f>KeyData_seasonal!H49</f>
        <v>41048.437000000005</v>
      </c>
      <c r="K22" s="78">
        <f>KeyData_seasonal!I49</f>
        <v>41048.437000000005</v>
      </c>
      <c r="L22" s="78">
        <f>KeyData_seasonal!J49</f>
        <v>41048.437000000005</v>
      </c>
      <c r="M22" s="78">
        <f>KeyData_seasonal!K49</f>
        <v>216782.06899999996</v>
      </c>
      <c r="N22" s="78">
        <f>KeyData_seasonal!L49</f>
        <v>41048.437000000005</v>
      </c>
      <c r="O22" s="78">
        <f>KeyData_seasonal!M49</f>
        <v>41048.437000000005</v>
      </c>
      <c r="P22" s="78">
        <f>KeyData_seasonal!N49</f>
        <v>41048.437000000005</v>
      </c>
      <c r="Q22" s="78">
        <f>KeyData_seasonal!O49</f>
        <v>41048.445999999996</v>
      </c>
      <c r="R22" s="286"/>
      <c r="S22" s="264">
        <f>KeyData!H49</f>
        <v>668314.88500000001</v>
      </c>
      <c r="T22" s="264">
        <f>S22-E22</f>
        <v>196290.09599999996</v>
      </c>
      <c r="U22" s="442"/>
    </row>
    <row r="23" spans="1:23" ht="19.899999999999999" customHeight="1" x14ac:dyDescent="0.2">
      <c r="A23" s="400"/>
      <c r="B23" s="898" t="s">
        <v>674</v>
      </c>
      <c r="C23" s="899">
        <f>IFERROR(C22/C$8,0)</f>
        <v>8.8134679113725523E-2</v>
      </c>
      <c r="D23" s="900">
        <f>IFERROR(D22/D$8,0)</f>
        <v>4.0258379932788149E-2</v>
      </c>
      <c r="E23" s="901">
        <f>IFERROR(E22/E$8,0)</f>
        <v>2.2252965946529365E-2</v>
      </c>
      <c r="F23" s="902"/>
      <c r="G23" s="902"/>
      <c r="H23" s="902"/>
      <c r="I23" s="902"/>
      <c r="J23" s="902"/>
      <c r="K23" s="902"/>
      <c r="L23" s="902"/>
      <c r="M23" s="902"/>
      <c r="N23" s="902"/>
      <c r="O23" s="902"/>
      <c r="P23" s="902"/>
      <c r="Q23" s="902"/>
      <c r="R23" s="900"/>
      <c r="S23" s="901">
        <f>IFERROR(S22/S$8,0)</f>
        <v>3.2487369251222455E-2</v>
      </c>
      <c r="T23" s="901">
        <f t="shared" ref="T23" si="4">S23-E23</f>
        <v>1.023440330469309E-2</v>
      </c>
      <c r="U23" s="442"/>
    </row>
  </sheetData>
  <mergeCells count="5"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Normal="100" workbookViewId="0">
      <pane xSplit="2" ySplit="7" topLeftCell="C8" activePane="bottomRight" state="frozen"/>
      <selection pane="topRight" activeCell="H16" sqref="H16"/>
      <selection pane="bottomLeft" activeCell="H16" sqref="H16"/>
      <selection pane="bottomRight" activeCell="R31" sqref="R31"/>
    </sheetView>
  </sheetViews>
  <sheetFormatPr defaultColWidth="9.28515625" defaultRowHeight="12.75" customHeight="1" outlineLevelCol="1" x14ac:dyDescent="0.2"/>
  <cols>
    <col min="1" max="1" width="17.42578125" style="220" customWidth="1"/>
    <col min="2" max="2" width="49.7109375" style="220" customWidth="1"/>
    <col min="3" max="5" width="15.28515625" style="220" customWidth="1"/>
    <col min="6" max="17" width="15.28515625" style="220" hidden="1" customWidth="1" outlineLevel="1"/>
    <col min="18" max="18" width="8" style="220" bestFit="1" customWidth="1" collapsed="1"/>
    <col min="19" max="20" width="15.28515625" style="220" customWidth="1"/>
    <col min="21" max="21" width="49.7109375" style="220" customWidth="1"/>
    <col min="22" max="22" width="4.28515625" style="220" customWidth="1"/>
    <col min="23" max="23" width="91.7109375" style="220" bestFit="1" customWidth="1"/>
    <col min="24" max="16384" width="9.28515625" style="220"/>
  </cols>
  <sheetData>
    <row r="1" spans="1:23" ht="19.899999999999999" customHeight="1" x14ac:dyDescent="0.25">
      <c r="A1" s="60" t="str">
        <f>+'0. Instructions'!A1</f>
        <v>Budget 2024</v>
      </c>
      <c r="B1" s="60"/>
      <c r="C1" s="60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57" t="str">
        <f>'Input-FX Rates'!$H$1</f>
        <v>Plant ICH Icheon (242)</v>
      </c>
      <c r="W1" s="389" t="s">
        <v>154</v>
      </c>
    </row>
    <row r="2" spans="1:23" ht="19.899999999999999" customHeight="1" thickBot="1" x14ac:dyDescent="0.3">
      <c r="A2" s="55" t="s">
        <v>653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7521 &amp; 7522 PL Mechatronic Sensors (&amp; Electrification)</v>
      </c>
      <c r="W2" s="95" t="s">
        <v>156</v>
      </c>
    </row>
    <row r="3" spans="1:23" ht="12.75" customHeight="1" x14ac:dyDescent="0.2">
      <c r="U3" s="474"/>
    </row>
    <row r="4" spans="1:23" ht="22.9" customHeight="1" x14ac:dyDescent="0.2">
      <c r="A4" s="1036"/>
      <c r="B4" s="1036"/>
      <c r="C4" s="1036"/>
      <c r="D4" s="1036"/>
      <c r="E4" s="1036"/>
      <c r="F4" s="1036"/>
      <c r="G4" s="1036"/>
      <c r="H4" s="1036"/>
      <c r="I4" s="1036"/>
      <c r="J4" s="1036"/>
      <c r="K4" s="1036"/>
      <c r="L4" s="1036"/>
      <c r="M4" s="1036"/>
      <c r="N4" s="1036"/>
      <c r="O4" s="1036"/>
      <c r="P4" s="1036"/>
      <c r="Q4" s="1036"/>
      <c r="R4" s="1036"/>
      <c r="S4" s="1036"/>
      <c r="T4" s="1036"/>
      <c r="U4" s="1036"/>
    </row>
    <row r="6" spans="1:23" ht="19.899999999999999" customHeight="1" x14ac:dyDescent="0.2">
      <c r="A6" s="1027" t="str">
        <f>"in '000 "&amp;"EUR"</f>
        <v>in '000 EUR</v>
      </c>
      <c r="B6" s="1028"/>
      <c r="C6" s="456">
        <v>2022</v>
      </c>
      <c r="D6" s="1031">
        <v>2023</v>
      </c>
      <c r="E6" s="1028"/>
      <c r="F6" s="1027">
        <v>2024</v>
      </c>
      <c r="G6" s="1027"/>
      <c r="H6" s="1027"/>
      <c r="I6" s="1027"/>
      <c r="J6" s="1027"/>
      <c r="K6" s="1027"/>
      <c r="L6" s="1027"/>
      <c r="M6" s="1027"/>
      <c r="N6" s="1027"/>
      <c r="O6" s="1027"/>
      <c r="P6" s="1027"/>
      <c r="Q6" s="1030"/>
      <c r="R6" s="1031">
        <v>2024</v>
      </c>
      <c r="S6" s="1028"/>
      <c r="T6" s="644" t="s">
        <v>190</v>
      </c>
      <c r="U6" s="186" t="s">
        <v>208</v>
      </c>
      <c r="W6" s="9" t="s">
        <v>654</v>
      </c>
    </row>
    <row r="7" spans="1:23" ht="19.899999999999999" customHeight="1" x14ac:dyDescent="0.2">
      <c r="A7" s="1027"/>
      <c r="B7" s="1028"/>
      <c r="C7" s="456" t="s">
        <v>191</v>
      </c>
      <c r="D7" s="303" t="s">
        <v>15</v>
      </c>
      <c r="E7" s="644" t="s">
        <v>19</v>
      </c>
      <c r="F7" s="186" t="s">
        <v>321</v>
      </c>
      <c r="G7" s="186" t="s">
        <v>322</v>
      </c>
      <c r="H7" s="186" t="s">
        <v>323</v>
      </c>
      <c r="I7" s="186" t="s">
        <v>324</v>
      </c>
      <c r="J7" s="186" t="s">
        <v>325</v>
      </c>
      <c r="K7" s="186" t="s">
        <v>326</v>
      </c>
      <c r="L7" s="186" t="s">
        <v>327</v>
      </c>
      <c r="M7" s="186" t="s">
        <v>328</v>
      </c>
      <c r="N7" s="186" t="s">
        <v>329</v>
      </c>
      <c r="O7" s="186" t="s">
        <v>330</v>
      </c>
      <c r="P7" s="186" t="s">
        <v>331</v>
      </c>
      <c r="Q7" s="187" t="s">
        <v>332</v>
      </c>
      <c r="R7" s="303" t="s">
        <v>251</v>
      </c>
      <c r="S7" s="644" t="s">
        <v>15</v>
      </c>
      <c r="T7" s="644" t="s">
        <v>422</v>
      </c>
      <c r="U7" s="186"/>
      <c r="W7" s="9" t="s">
        <v>196</v>
      </c>
    </row>
    <row r="8" spans="1:23" ht="19.899999999999999" customHeight="1" x14ac:dyDescent="0.2">
      <c r="A8" s="213" t="s">
        <v>655</v>
      </c>
      <c r="B8" s="440"/>
      <c r="C8" s="463">
        <f>IFERROR('7. BS-Key Figures (LC)'!C8/'Input-FX Rates'!$C$16,0)</f>
        <v>6430.0853443020487</v>
      </c>
      <c r="D8" s="461">
        <f>IFERROR('7. BS-Key Figures (LC)'!D8/'Input-FX Rates'!$D$16,0)</f>
        <v>12347.858759969902</v>
      </c>
      <c r="E8" s="460">
        <f>IFERROR('7. BS-Key Figures (LC)'!E8/'Input-FX Rates'!$G$16,0)</f>
        <v>15111.540802308424</v>
      </c>
      <c r="F8" s="462">
        <f>IFERROR('7. BS-Key Figures (LC)'!F8/'Input-FX Rates'!$H$13,0)</f>
        <v>1199.7445020689654</v>
      </c>
      <c r="G8" s="462">
        <f>IFERROR('7. BS-Key Figures (LC)'!G8/'Input-FX Rates'!$H$13,0)</f>
        <v>1199.7532220689654</v>
      </c>
      <c r="H8" s="462">
        <f>IFERROR('7. BS-Key Figures (LC)'!H8/'Input-FX Rates'!$H$13,0)</f>
        <v>1169.4966724137932</v>
      </c>
      <c r="I8" s="462">
        <f>IFERROR('7. BS-Key Figures (LC)'!I8/'Input-FX Rates'!$H$13,0)</f>
        <v>1199.7532220689654</v>
      </c>
      <c r="J8" s="462">
        <f>IFERROR('7. BS-Key Figures (LC)'!J8/'Input-FX Rates'!$H$13,0)</f>
        <v>1230.0380220689656</v>
      </c>
      <c r="K8" s="462">
        <f>IFERROR('7. BS-Key Figures (LC)'!K8/'Input-FX Rates'!$H$13,0)</f>
        <v>1147.8775020689654</v>
      </c>
      <c r="L8" s="462">
        <f>IFERROR('7. BS-Key Figures (LC)'!L8/'Input-FX Rates'!$H$13,0)</f>
        <v>1240.072312413793</v>
      </c>
      <c r="M8" s="462">
        <f>IFERROR('7. BS-Key Figures (LC)'!M8/'Input-FX Rates'!$H$13,0)</f>
        <v>1209.2798220689656</v>
      </c>
      <c r="N8" s="462">
        <f>IFERROR('7. BS-Key Figures (LC)'!N8/'Input-FX Rates'!$H$13,0)</f>
        <v>1086.3583020689655</v>
      </c>
      <c r="O8" s="462">
        <f>IFERROR('7. BS-Key Figures (LC)'!O8/'Input-FX Rates'!$H$13,0)</f>
        <v>1240.012432413793</v>
      </c>
      <c r="P8" s="462">
        <f>IFERROR('7. BS-Key Figures (LC)'!P8/'Input-FX Rates'!$H$13,0)</f>
        <v>1209.2595420689654</v>
      </c>
      <c r="Q8" s="462">
        <f>IFERROR('7. BS-Key Figures (LC)'!Q8/'Input-FX Rates'!$H$13,0)</f>
        <v>1055.6163841379309</v>
      </c>
      <c r="R8" s="461">
        <f>IFERROR('7. BS-Key Figures (LC)'!R8/'Input-FX Rates'!$H$13,0)</f>
        <v>0</v>
      </c>
      <c r="S8" s="460">
        <f>IFERROR('7. BS-Key Figures (LC)'!S8/'Input-FX Rates'!$H$16,0)</f>
        <v>14187.261937931033</v>
      </c>
      <c r="T8" s="264">
        <f t="shared" ref="T8:T21" si="0">S8-E8</f>
        <v>-924.27886437739107</v>
      </c>
      <c r="U8" s="400" t="str">
        <f>IF(ISBLANK('7. BS-Key Figures (LC)'!U8),"",'7. BS-Key Figures (LC)'!U8)</f>
        <v/>
      </c>
      <c r="W8" s="9" t="s">
        <v>656</v>
      </c>
    </row>
    <row r="9" spans="1:23" ht="19.899999999999999" customHeight="1" x14ac:dyDescent="0.2">
      <c r="A9" s="213" t="s">
        <v>657</v>
      </c>
      <c r="B9" s="440"/>
      <c r="C9" s="463">
        <f>IFERROR('7. BS-Key Figures (LC)'!C9/'Input-FX Rates'!$C$16,0)</f>
        <v>6169.0247535245871</v>
      </c>
      <c r="D9" s="461">
        <f>IFERROR('7. BS-Key Figures (LC)'!D9/'Input-FX Rates'!$D$16,0)</f>
        <v>12347.858759969902</v>
      </c>
      <c r="E9" s="460">
        <f>IFERROR('7. BS-Key Figures (LC)'!E9/'Input-FX Rates'!$G$16,0)</f>
        <v>15074.72579116208</v>
      </c>
      <c r="F9" s="462">
        <f>IFERROR('7. BS-Key Figures (LC)'!F9/'Input-FX Rates'!$H$13,0)</f>
        <v>1199.7445020689654</v>
      </c>
      <c r="G9" s="462">
        <f>IFERROR('7. BS-Key Figures (LC)'!G9/'Input-FX Rates'!$H$13,0)</f>
        <v>1199.7532220689654</v>
      </c>
      <c r="H9" s="462">
        <f>IFERROR('7. BS-Key Figures (LC)'!H9/'Input-FX Rates'!$H$13,0)</f>
        <v>1169.4966724137932</v>
      </c>
      <c r="I9" s="462">
        <f>IFERROR('7. BS-Key Figures (LC)'!I9/'Input-FX Rates'!$H$13,0)</f>
        <v>1199.7532220689654</v>
      </c>
      <c r="J9" s="462">
        <f>IFERROR('7. BS-Key Figures (LC)'!J9/'Input-FX Rates'!$H$13,0)</f>
        <v>1230.0380220689656</v>
      </c>
      <c r="K9" s="462">
        <f>IFERROR('7. BS-Key Figures (LC)'!K9/'Input-FX Rates'!$H$13,0)</f>
        <v>1147.8775020689654</v>
      </c>
      <c r="L9" s="462">
        <f>IFERROR('7. BS-Key Figures (LC)'!L9/'Input-FX Rates'!$H$13,0)</f>
        <v>1240.072312413793</v>
      </c>
      <c r="M9" s="462">
        <f>IFERROR('7. BS-Key Figures (LC)'!M9/'Input-FX Rates'!$H$13,0)</f>
        <v>1209.2798220689656</v>
      </c>
      <c r="N9" s="462">
        <f>IFERROR('7. BS-Key Figures (LC)'!N9/'Input-FX Rates'!$H$13,0)</f>
        <v>1086.3583020689655</v>
      </c>
      <c r="O9" s="462">
        <f>IFERROR('7. BS-Key Figures (LC)'!O9/'Input-FX Rates'!$H$13,0)</f>
        <v>1240.012432413793</v>
      </c>
      <c r="P9" s="462">
        <f>IFERROR('7. BS-Key Figures (LC)'!P9/'Input-FX Rates'!$H$13,0)</f>
        <v>1209.2595420689654</v>
      </c>
      <c r="Q9" s="462">
        <f>IFERROR('7. BS-Key Figures (LC)'!Q9/'Input-FX Rates'!$H$13,0)</f>
        <v>1055.6163841379309</v>
      </c>
      <c r="R9" s="461"/>
      <c r="S9" s="460">
        <f>IFERROR('7. BS-Key Figures (LC)'!S9/'Input-FX Rates'!$H$16,0)</f>
        <v>14187.261937931033</v>
      </c>
      <c r="T9" s="264">
        <f t="shared" si="0"/>
        <v>-887.46385323104732</v>
      </c>
      <c r="U9" s="400" t="str">
        <f>IF(ISBLANK('7. BS-Key Figures (LC)'!U9),"",'7. BS-Key Figures (LC)'!U9)</f>
        <v/>
      </c>
      <c r="W9" s="9"/>
    </row>
    <row r="10" spans="1:23" s="334" customFormat="1" ht="19.899999999999999" customHeight="1" x14ac:dyDescent="0.2">
      <c r="A10" s="851" t="s">
        <v>658</v>
      </c>
      <c r="B10" s="852" t="s">
        <v>659</v>
      </c>
      <c r="C10" s="865">
        <f>IFERROR('7. BS-Key Figures (LC)'!C10/'Input-FX Rates'!$C$13,0)</f>
        <v>815.56696487001011</v>
      </c>
      <c r="D10" s="866">
        <f>IFERROR('7. BS-Key Figures (LC)'!D10/'Input-FX Rates'!$D$13,0)</f>
        <v>489.13230022573367</v>
      </c>
      <c r="E10" s="867">
        <f>IFERROR('7. BS-Key Figures (LC)'!E10/'Input-FX Rates'!$G$13,0)</f>
        <v>2400.8732358729267</v>
      </c>
      <c r="F10" s="868">
        <f>IFERROR('7. BS-Key Figures (LC)'!F10/'Input-FX Rates'!$H$13,0)</f>
        <v>2031.3187137931034</v>
      </c>
      <c r="G10" s="868">
        <f>IFERROR('7. BS-Key Figures (LC)'!G10/'Input-FX Rates'!$H$13,0)</f>
        <v>2041.7058551724135</v>
      </c>
      <c r="H10" s="868">
        <f>IFERROR('7. BS-Key Figures (LC)'!H10/'Input-FX Rates'!$H$13,0)</f>
        <v>1850.0672972413793</v>
      </c>
      <c r="I10" s="868">
        <f>IFERROR('7. BS-Key Figures (LC)'!I10/'Input-FX Rates'!$H$13,0)</f>
        <v>1676.5309634482758</v>
      </c>
      <c r="J10" s="868">
        <f>IFERROR('7. BS-Key Figures (LC)'!J10/'Input-FX Rates'!$H$13,0)</f>
        <v>1567.9267986206896</v>
      </c>
      <c r="K10" s="868">
        <f>IFERROR('7. BS-Key Figures (LC)'!K10/'Input-FX Rates'!$H$13,0)</f>
        <v>1485.8774455172415</v>
      </c>
      <c r="L10" s="868">
        <f>IFERROR('7. BS-Key Figures (LC)'!L10/'Input-FX Rates'!$H$13,0)</f>
        <v>1385.7226689655174</v>
      </c>
      <c r="M10" s="868">
        <f>IFERROR('7. BS-Key Figures (LC)'!M10/'Input-FX Rates'!$H$13,0)</f>
        <v>1262.4191586206896</v>
      </c>
      <c r="N10" s="868">
        <f>IFERROR('7. BS-Key Figures (LC)'!N10/'Input-FX Rates'!$H$13,0)</f>
        <v>1057.7263489655172</v>
      </c>
      <c r="O10" s="868">
        <f>IFERROR('7. BS-Key Figures (LC)'!O10/'Input-FX Rates'!$H$13,0)</f>
        <v>979.19375172413788</v>
      </c>
      <c r="P10" s="868">
        <f>IFERROR('7. BS-Key Figures (LC)'!P10/'Input-FX Rates'!$H$13,0)</f>
        <v>970.26157517241381</v>
      </c>
      <c r="Q10" s="868">
        <f>IFERROR('7. BS-Key Figures (LC)'!Q10/'Input-FX Rates'!$H$13,0)</f>
        <v>827.41461724137935</v>
      </c>
      <c r="R10" s="866"/>
      <c r="S10" s="867">
        <f>IFERROR('7. BS-Key Figures (LC)'!S10/'Input-FX Rates'!$H$13,0)</f>
        <v>827.41461724137935</v>
      </c>
      <c r="T10" s="867">
        <f t="shared" si="0"/>
        <v>-1573.4586186315473</v>
      </c>
      <c r="U10" s="293" t="str">
        <f>IF(ISBLANK('7. BS-Key Figures (LC)'!U10),"",'7. BS-Key Figures (LC)'!U10)</f>
        <v/>
      </c>
      <c r="W10" s="857" t="s">
        <v>660</v>
      </c>
    </row>
    <row r="11" spans="1:23" ht="19.899999999999999" customHeight="1" x14ac:dyDescent="0.2">
      <c r="A11" s="455"/>
      <c r="B11" s="453" t="s">
        <v>661</v>
      </c>
      <c r="C11" s="473">
        <f>IFERROR('7. BS-Key Figures (LC)'!C11/'Input-FX Rates'!$C$13,0)</f>
        <v>330.8036037241954</v>
      </c>
      <c r="D11" s="471">
        <f>IFERROR('7. BS-Key Figures (LC)'!D11/'Input-FX Rates'!$D$13,0)</f>
        <v>207.94261399548532</v>
      </c>
      <c r="E11" s="470">
        <f>IFERROR('7. BS-Key Figures (LC)'!E11/'Input-FX Rates'!$G$13,0)</f>
        <v>264.41777481023337</v>
      </c>
      <c r="F11" s="472">
        <f>IFERROR('7. BS-Key Figures (LC)'!F11/'Input-FX Rates'!$H$13,0)</f>
        <v>214.03513448275862</v>
      </c>
      <c r="G11" s="472">
        <f>IFERROR('7. BS-Key Figures (LC)'!G11/'Input-FX Rates'!$H$13,0)</f>
        <v>226.19405517241378</v>
      </c>
      <c r="H11" s="472">
        <f>IFERROR('7. BS-Key Figures (LC)'!H11/'Input-FX Rates'!$H$13,0)</f>
        <v>210.05170827586207</v>
      </c>
      <c r="I11" s="472">
        <f>IFERROR('7. BS-Key Figures (LC)'!I11/'Input-FX Rates'!$H$13,0)</f>
        <v>196.64125793103449</v>
      </c>
      <c r="J11" s="472">
        <f>IFERROR('7. BS-Key Figures (LC)'!J11/'Input-FX Rates'!$H$13,0)</f>
        <v>192.42257448275862</v>
      </c>
      <c r="K11" s="472">
        <f>IFERROR('7. BS-Key Figures (LC)'!K11/'Input-FX Rates'!$H$13,0)</f>
        <v>182.97200000000001</v>
      </c>
      <c r="L11" s="472">
        <f>IFERROR('7. BS-Key Figures (LC)'!L11/'Input-FX Rates'!$H$13,0)</f>
        <v>169.94002620689656</v>
      </c>
      <c r="M11" s="472">
        <f>IFERROR('7. BS-Key Figures (LC)'!M11/'Input-FX Rates'!$H$13,0)</f>
        <v>164.99745034482763</v>
      </c>
      <c r="N11" s="472">
        <f>IFERROR('7. BS-Key Figures (LC)'!N11/'Input-FX Rates'!$H$13,0)</f>
        <v>153.57709931034486</v>
      </c>
      <c r="O11" s="472">
        <f>IFERROR('7. BS-Key Figures (LC)'!O11/'Input-FX Rates'!$H$13,0)</f>
        <v>154.36161379310349</v>
      </c>
      <c r="P11" s="472">
        <f>IFERROR('7. BS-Key Figures (LC)'!P11/'Input-FX Rates'!$H$13,0)</f>
        <v>141.66715517241383</v>
      </c>
      <c r="Q11" s="472">
        <f>IFERROR('7. BS-Key Figures (LC)'!Q11/'Input-FX Rates'!$H$13,0)</f>
        <v>131.01941034482761</v>
      </c>
      <c r="R11" s="471"/>
      <c r="S11" s="470">
        <f>IFERROR('7. BS-Key Figures (LC)'!S11/'Input-FX Rates'!$H$13,0)</f>
        <v>131.01941034482758</v>
      </c>
      <c r="T11" s="470">
        <f t="shared" si="0"/>
        <v>-133.39836446540579</v>
      </c>
      <c r="U11" s="293" t="str">
        <f>IF(ISBLANK('7. BS-Key Figures (LC)'!U11),"",'7. BS-Key Figures (LC)'!U11)</f>
        <v/>
      </c>
      <c r="W11" s="9" t="s">
        <v>662</v>
      </c>
    </row>
    <row r="12" spans="1:23" ht="19.899999999999999" customHeight="1" x14ac:dyDescent="0.2">
      <c r="A12" s="455"/>
      <c r="B12" s="453" t="s">
        <v>663</v>
      </c>
      <c r="C12" s="469">
        <f>IFERROR('7. BS-Key Figures (LC)'!C12/'Input-FX Rates'!$C$13,0)</f>
        <v>0</v>
      </c>
      <c r="D12" s="468">
        <f>IFERROR('7. BS-Key Figures (LC)'!D12/'Input-FX Rates'!$D$13,0)</f>
        <v>88.805932279909712</v>
      </c>
      <c r="E12" s="467">
        <f>IFERROR('7. BS-Key Figures (LC)'!E12/'Input-FX Rates'!$G$13,0)</f>
        <v>89.479779308405966</v>
      </c>
      <c r="F12" s="208">
        <f>IFERROR('7. BS-Key Figures (LC)'!F12/'Input-FX Rates'!$H$13,0)</f>
        <v>78.766337931034485</v>
      </c>
      <c r="G12" s="208">
        <f>IFERROR('7. BS-Key Figures (LC)'!G12/'Input-FX Rates'!$H$13,0)</f>
        <v>118.15042068965516</v>
      </c>
      <c r="H12" s="208">
        <f>IFERROR('7. BS-Key Figures (LC)'!H12/'Input-FX Rates'!$H$13,0)</f>
        <v>95.816278620689644</v>
      </c>
      <c r="I12" s="208">
        <f>IFERROR('7. BS-Key Figures (LC)'!I12/'Input-FX Rates'!$H$13,0)</f>
        <v>78.766946896551715</v>
      </c>
      <c r="J12" s="208">
        <f>IFERROR('7. BS-Key Figures (LC)'!J12/'Input-FX Rates'!$H$13,0)</f>
        <v>80.882844827586197</v>
      </c>
      <c r="K12" s="208">
        <f>IFERROR('7. BS-Key Figures (LC)'!K12/'Input-FX Rates'!$H$13,0)</f>
        <v>93.928204137931019</v>
      </c>
      <c r="L12" s="208">
        <f>IFERROR('7. BS-Key Figures (LC)'!L12/'Input-FX Rates'!$H$13,0)</f>
        <v>101.97988413793101</v>
      </c>
      <c r="M12" s="208">
        <f>IFERROR('7. BS-Key Figures (LC)'!M12/'Input-FX Rates'!$H$13,0)</f>
        <v>99.290673793103423</v>
      </c>
      <c r="N12" s="208">
        <f>IFERROR('7. BS-Key Figures (LC)'!N12/'Input-FX Rates'!$H$13,0)</f>
        <v>70.844422068965486</v>
      </c>
      <c r="O12" s="208">
        <f>IFERROR('7. BS-Key Figures (LC)'!O12/'Input-FX Rates'!$H$13,0)</f>
        <v>81.579724137930995</v>
      </c>
      <c r="P12" s="208">
        <f>IFERROR('7. BS-Key Figures (LC)'!P12/'Input-FX Rates'!$H$13,0)</f>
        <v>99.288902758620665</v>
      </c>
      <c r="Q12" s="208">
        <f>IFERROR('7. BS-Key Figures (LC)'!Q12/'Input-FX Rates'!$H$13,0)</f>
        <v>68.696586206896527</v>
      </c>
      <c r="R12" s="468"/>
      <c r="S12" s="467">
        <f>IFERROR('7. BS-Key Figures (LC)'!S12/'Input-FX Rates'!$H$13,0)</f>
        <v>68.696586206896555</v>
      </c>
      <c r="T12" s="467">
        <f t="shared" si="0"/>
        <v>-20.783193101509411</v>
      </c>
      <c r="U12" s="293" t="str">
        <f>IF(ISBLANK('7. BS-Key Figures (LC)'!U12),"",'7. BS-Key Figures (LC)'!U12)</f>
        <v/>
      </c>
      <c r="W12" s="9" t="s">
        <v>664</v>
      </c>
    </row>
    <row r="13" spans="1:23" ht="19.899999999999999" customHeight="1" x14ac:dyDescent="0.2">
      <c r="A13" s="455"/>
      <c r="B13" s="453" t="s">
        <v>665</v>
      </c>
      <c r="C13" s="469">
        <f>IFERROR('7. BS-Key Figures (LC)'!C13/'Input-FX Rates'!$C$13,0)</f>
        <v>484.76336114581471</v>
      </c>
      <c r="D13" s="468">
        <f>IFERROR('7. BS-Key Figures (LC)'!D13/'Input-FX Rates'!$D$13,0)</f>
        <v>192.38375395033859</v>
      </c>
      <c r="E13" s="467">
        <f>IFERROR('7. BS-Key Figures (LC)'!E13/'Input-FX Rates'!$G$13,0)</f>
        <v>2046.9756817542873</v>
      </c>
      <c r="F13" s="208">
        <f>IFERROR('7. BS-Key Figures (LC)'!F13/'Input-FX Rates'!$H$13,0)</f>
        <v>1738.5172413793102</v>
      </c>
      <c r="G13" s="208">
        <f>IFERROR('7. BS-Key Figures (LC)'!G13/'Input-FX Rates'!$H$13,0)</f>
        <v>1697.3613793103448</v>
      </c>
      <c r="H13" s="208">
        <f>IFERROR('7. BS-Key Figures (LC)'!H13/'Input-FX Rates'!$H$13,0)</f>
        <v>1544.1993103448276</v>
      </c>
      <c r="I13" s="208">
        <f>IFERROR('7. BS-Key Figures (LC)'!I13/'Input-FX Rates'!$H$13,0)</f>
        <v>1401.1227586206896</v>
      </c>
      <c r="J13" s="208">
        <f>IFERROR('7. BS-Key Figures (LC)'!J13/'Input-FX Rates'!$H$13,0)</f>
        <v>1294.6213793103448</v>
      </c>
      <c r="K13" s="208">
        <f>IFERROR('7. BS-Key Figures (LC)'!K13/'Input-FX Rates'!$H$13,0)</f>
        <v>1208.9772413793103</v>
      </c>
      <c r="L13" s="208">
        <f>IFERROR('7. BS-Key Figures (LC)'!L13/'Input-FX Rates'!$H$13,0)</f>
        <v>1113.8027586206897</v>
      </c>
      <c r="M13" s="208">
        <f>IFERROR('7. BS-Key Figures (LC)'!M13/'Input-FX Rates'!$H$13,0)</f>
        <v>998.13103448275865</v>
      </c>
      <c r="N13" s="208">
        <f>IFERROR('7. BS-Key Figures (LC)'!N13/'Input-FX Rates'!$H$13,0)</f>
        <v>833.3048275862069</v>
      </c>
      <c r="O13" s="208">
        <f>IFERROR('7. BS-Key Figures (LC)'!O13/'Input-FX Rates'!$H$13,0)</f>
        <v>743.25241379310341</v>
      </c>
      <c r="P13" s="208">
        <f>IFERROR('7. BS-Key Figures (LC)'!P13/'Input-FX Rates'!$H$13,0)</f>
        <v>729.30551724137933</v>
      </c>
      <c r="Q13" s="208">
        <f>IFERROR('7. BS-Key Figures (LC)'!Q13/'Input-FX Rates'!$H$13,0)</f>
        <v>627.69862068965517</v>
      </c>
      <c r="R13" s="468"/>
      <c r="S13" s="467">
        <f>IFERROR('7. BS-Key Figures (LC)'!S13/'Input-FX Rates'!$H$13,0)</f>
        <v>627.69862068965517</v>
      </c>
      <c r="T13" s="467">
        <f t="shared" si="0"/>
        <v>-1419.2770610646321</v>
      </c>
      <c r="U13" s="293" t="str">
        <f>IF(ISBLANK('7. BS-Key Figures (LC)'!U13),"",'7. BS-Key Figures (LC)'!U13)</f>
        <v/>
      </c>
      <c r="W13" s="9"/>
    </row>
    <row r="14" spans="1:23" ht="19.899999999999999" customHeight="1" x14ac:dyDescent="0.2">
      <c r="A14" s="455"/>
      <c r="B14" s="453" t="s">
        <v>666</v>
      </c>
      <c r="C14" s="742">
        <f>IFERROR(C8/C10,0)</f>
        <v>7.8841905340377707</v>
      </c>
      <c r="D14" s="743">
        <f>IFERROR(D8/D10,0)</f>
        <v>25.244414965585769</v>
      </c>
      <c r="E14" s="744">
        <f>IFERROR(E8/E10,0)</f>
        <v>6.294185205831603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746">
        <f>'7. BS-Key Figures (LC)'!Q14</f>
        <v>17.146496620076295</v>
      </c>
      <c r="R14" s="743"/>
      <c r="S14" s="747">
        <f>+'7. BS-Key Figures (LC)'!S14</f>
        <v>17.146496620076295</v>
      </c>
      <c r="T14" s="747">
        <f t="shared" si="0"/>
        <v>10.852311414244692</v>
      </c>
      <c r="U14" s="293" t="str">
        <f>IF(ISBLANK('7. BS-Key Figures (LC)'!U14),"",'7. BS-Key Figures (LC)'!U14)</f>
        <v/>
      </c>
      <c r="W14" s="9"/>
    </row>
    <row r="15" spans="1:23" ht="19.899999999999999" customHeight="1" x14ac:dyDescent="0.2">
      <c r="A15" s="455"/>
      <c r="B15" s="453" t="s">
        <v>667</v>
      </c>
      <c r="C15" s="748">
        <f>+'7. BS-Key Figures (LC)'!C15</f>
        <v>21.7</v>
      </c>
      <c r="D15" s="749">
        <f>+'7. BS-Key Figures (LC)'!D15</f>
        <v>24.7</v>
      </c>
      <c r="E15" s="750">
        <f>+'7. BS-Key Figures (LC)'!E15</f>
        <v>22.9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743">
        <f>'7. BS-Key Figures (LC)'!R15</f>
        <v>0</v>
      </c>
      <c r="S15" s="747">
        <f>+'7. BS-Key Figures (LC)'!S15</f>
        <v>9.9349616044776425</v>
      </c>
      <c r="T15" s="747">
        <f t="shared" si="0"/>
        <v>-12.965038395522356</v>
      </c>
      <c r="U15" s="293" t="str">
        <f>IF(ISBLANK('7. BS-Key Figures (LC)'!U15),"",'7. BS-Key Figures (LC)'!U15)</f>
        <v/>
      </c>
      <c r="W15" s="9" t="s">
        <v>668</v>
      </c>
    </row>
    <row r="16" spans="1:23" s="334" customFormat="1" ht="19.899999999999999" customHeight="1" x14ac:dyDescent="0.2">
      <c r="A16" s="858"/>
      <c r="B16" s="852" t="s">
        <v>669</v>
      </c>
      <c r="C16" s="869">
        <f>IFERROR('7. BS-Key Figures (LC)'!C16/'Input-FX Rates'!$C$13,0)</f>
        <v>1826.3162740198702</v>
      </c>
      <c r="D16" s="870">
        <f>IFERROR('7. BS-Key Figures (LC)'!D16/'Input-FX Rates'!$D$13,0)</f>
        <v>1996.3589999999999</v>
      </c>
      <c r="E16" s="871">
        <f>IFERROR('7. BS-Key Figures (LC)'!E16/'Input-FX Rates'!$G$13,0)</f>
        <v>2621.4207183019398</v>
      </c>
      <c r="F16" s="872">
        <f>IFERROR('7. BS-Key Figures (LC)'!F16/'Input-FX Rates'!$H$13,0)</f>
        <v>2596.1994103448278</v>
      </c>
      <c r="G16" s="872">
        <f>IFERROR('7. BS-Key Figures (LC)'!G16/'Input-FX Rates'!$H$13,0)</f>
        <v>2587.7896799999999</v>
      </c>
      <c r="H16" s="872">
        <f>IFERROR('7. BS-Key Figures (LC)'!H16/'Input-FX Rates'!$H$13,0)</f>
        <v>2680.1660144827583</v>
      </c>
      <c r="I16" s="872">
        <f>IFERROR('7. BS-Key Figures (LC)'!I16/'Input-FX Rates'!$H$13,0)</f>
        <v>2526.8529786206896</v>
      </c>
      <c r="J16" s="872">
        <f>IFERROR('7. BS-Key Figures (LC)'!J16/'Input-FX Rates'!$H$13,0)</f>
        <v>2515.1816041379311</v>
      </c>
      <c r="K16" s="872">
        <f>IFERROR('7. BS-Key Figures (LC)'!K16/'Input-FX Rates'!$H$13,0)</f>
        <v>2464.878097931035</v>
      </c>
      <c r="L16" s="872">
        <f>IFERROR('7. BS-Key Figures (LC)'!L16/'Input-FX Rates'!$H$13,0)</f>
        <v>2506.0380820689657</v>
      </c>
      <c r="M16" s="872">
        <f>IFERROR('7. BS-Key Figures (LC)'!M16/'Input-FX Rates'!$H$13,0)</f>
        <v>2493.0870662068969</v>
      </c>
      <c r="N16" s="872">
        <f>IFERROR('7. BS-Key Figures (LC)'!N16/'Input-FX Rates'!$H$13,0)</f>
        <v>2387.2968448275865</v>
      </c>
      <c r="O16" s="872">
        <f>IFERROR('7. BS-Key Figures (LC)'!O16/'Input-FX Rates'!$H$13,0)</f>
        <v>2463.4374220689656</v>
      </c>
      <c r="P16" s="872">
        <f>IFERROR('7. BS-Key Figures (LC)'!P16/'Input-FX Rates'!$H$13,0)</f>
        <v>2509.6100386206895</v>
      </c>
      <c r="Q16" s="872">
        <f>IFERROR('7. BS-Key Figures (LC)'!Q16/'Input-FX Rates'!$H$13,0)</f>
        <v>2337.7089668965518</v>
      </c>
      <c r="R16" s="870"/>
      <c r="S16" s="871">
        <f>IFERROR('7. BS-Key Figures (LC)'!S16/'Input-FX Rates'!$H$13,0)</f>
        <v>2337.7089668965518</v>
      </c>
      <c r="T16" s="871">
        <f t="shared" si="0"/>
        <v>-283.71175140538799</v>
      </c>
      <c r="U16" s="293" t="str">
        <f>IF(ISBLANK('7. BS-Key Figures (LC)'!U16),"",'7. BS-Key Figures (LC)'!U16)</f>
        <v/>
      </c>
      <c r="W16" s="857" t="s">
        <v>670</v>
      </c>
    </row>
    <row r="17" spans="1:23" ht="19.899999999999999" customHeight="1" x14ac:dyDescent="0.2">
      <c r="A17" s="446"/>
      <c r="B17" s="445" t="s">
        <v>671</v>
      </c>
      <c r="C17" s="466">
        <f>IFERROR(C16/C$8,0)</f>
        <v>0.28402675489186791</v>
      </c>
      <c r="D17" s="465">
        <f>IFERROR(D16/D$8,0)</f>
        <v>0.16167653346278363</v>
      </c>
      <c r="E17" s="295">
        <f>IFERROR(E16/E$8,0)</f>
        <v>0.17347143832622908</v>
      </c>
      <c r="F17" s="223">
        <f t="shared" ref="F17:Q17" si="1">IFERROR(F16/$S$8,0)</f>
        <v>0.18299509952682516</v>
      </c>
      <c r="G17" s="223">
        <f t="shared" si="1"/>
        <v>0.18240233325651731</v>
      </c>
      <c r="H17" s="223">
        <f t="shared" si="1"/>
        <v>0.18891354978912966</v>
      </c>
      <c r="I17" s="223">
        <f t="shared" si="1"/>
        <v>0.17810716329025411</v>
      </c>
      <c r="J17" s="223">
        <f t="shared" si="1"/>
        <v>0.17728449754024397</v>
      </c>
      <c r="K17" s="223">
        <f t="shared" si="1"/>
        <v>0.17373881646189546</v>
      </c>
      <c r="L17" s="223">
        <f t="shared" si="1"/>
        <v>0.17664000939947599</v>
      </c>
      <c r="M17" s="223">
        <f t="shared" si="1"/>
        <v>0.17572714714890719</v>
      </c>
      <c r="N17" s="223">
        <f t="shared" si="1"/>
        <v>0.16827044254712142</v>
      </c>
      <c r="O17" s="223">
        <f t="shared" si="1"/>
        <v>0.17363726932275245</v>
      </c>
      <c r="P17" s="223">
        <f t="shared" si="1"/>
        <v>0.176891781486814</v>
      </c>
      <c r="Q17" s="223">
        <f t="shared" si="1"/>
        <v>0.16477520307470028</v>
      </c>
      <c r="R17" s="464"/>
      <c r="S17" s="295">
        <f>IFERROR(S16/S$8,0)</f>
        <v>0.16477520307470028</v>
      </c>
      <c r="T17" s="295">
        <f t="shared" si="0"/>
        <v>-8.6962352515287944E-3</v>
      </c>
      <c r="U17" s="293" t="str">
        <f>IF(ISBLANK('7. BS-Key Figures (LC)'!U17),"",'7. BS-Key Figures (LC)'!U17)</f>
        <v/>
      </c>
      <c r="W17" s="9" t="s">
        <v>672</v>
      </c>
    </row>
    <row r="18" spans="1:23" s="334" customFormat="1" ht="19.899999999999999" customHeight="1" x14ac:dyDescent="0.2">
      <c r="A18" s="860"/>
      <c r="B18" s="852" t="s">
        <v>673</v>
      </c>
      <c r="C18" s="873">
        <f>IFERROR('7. BS-Key Figures (LC)'!C18/'Input-FX Rates'!$C$13,0)</f>
        <v>1993.0015006841572</v>
      </c>
      <c r="D18" s="874">
        <f>IFERROR('7. BS-Key Figures (LC)'!D18/'Input-FX Rates'!$D$13,0)</f>
        <v>1232.6880684725356</v>
      </c>
      <c r="E18" s="875">
        <f>IFERROR('7. BS-Key Figures (LC)'!E18/'Input-FX Rates'!$G$13,0)</f>
        <v>1263.1288037672196</v>
      </c>
      <c r="F18" s="876">
        <f>IFERROR('7. BS-Key Figures (LC)'!F18/'Input-FX Rates'!$H$13,0)</f>
        <v>1437.1236103448275</v>
      </c>
      <c r="G18" s="876">
        <f>IFERROR('7. BS-Key Figures (LC)'!G18/'Input-FX Rates'!$H$13,0)</f>
        <v>1555.3452827586204</v>
      </c>
      <c r="H18" s="876">
        <f>IFERROR('7. BS-Key Figures (LC)'!H18/'Input-FX Rates'!$H$13,0)</f>
        <v>1787.9932875862066</v>
      </c>
      <c r="I18" s="876">
        <f>IFERROR('7. BS-Key Figures (LC)'!I18/'Input-FX Rates'!$H$13,0)</f>
        <v>1862.7366827586204</v>
      </c>
      <c r="J18" s="876">
        <f>IFERROR('7. BS-Key Figures (LC)'!J18/'Input-FX Rates'!$H$13,0)</f>
        <v>1841.4629786206895</v>
      </c>
      <c r="K18" s="876">
        <f>IFERROR('7. BS-Key Figures (LC)'!K18/'Input-FX Rates'!$H$13,0)</f>
        <v>1827.8813724137929</v>
      </c>
      <c r="L18" s="876">
        <f>IFERROR('7. BS-Key Figures (LC)'!L18/'Input-FX Rates'!$H$13,0)</f>
        <v>1838.8266275862068</v>
      </c>
      <c r="M18" s="876">
        <f>IFERROR('7. BS-Key Figures (LC)'!M18/'Input-FX Rates'!$H$13,0)</f>
        <v>2060.1161379310342</v>
      </c>
      <c r="N18" s="876">
        <f>IFERROR('7. BS-Key Figures (LC)'!N18/'Input-FX Rates'!$H$13,0)</f>
        <v>2094.8523751724138</v>
      </c>
      <c r="O18" s="876">
        <f>IFERROR('7. BS-Key Figures (LC)'!O18/'Input-FX Rates'!$H$13,0)</f>
        <v>2122.0192448275866</v>
      </c>
      <c r="P18" s="876">
        <f>IFERROR('7. BS-Key Figures (LC)'!P18/'Input-FX Rates'!$H$13,0)</f>
        <v>2079.7766179310347</v>
      </c>
      <c r="Q18" s="876">
        <f>IFERROR('7. BS-Key Figures (LC)'!Q18/'Input-FX Rates'!$H$13,0)</f>
        <v>1779.2584924137932</v>
      </c>
      <c r="R18" s="874"/>
      <c r="S18" s="875">
        <f>IFERROR('7. BS-Key Figures (LC)'!S18/'Input-FX Rates'!$H$13,0)</f>
        <v>1779.258492413793</v>
      </c>
      <c r="T18" s="877">
        <f t="shared" si="0"/>
        <v>516.12968864657341</v>
      </c>
      <c r="U18" s="293" t="str">
        <f>IF(ISBLANK('7. BS-Key Figures (LC)'!U18),"",'7. BS-Key Figures (LC)'!U18)</f>
        <v/>
      </c>
      <c r="W18" s="857"/>
    </row>
    <row r="19" spans="1:23" ht="19.899999999999999" customHeight="1" x14ac:dyDescent="0.2">
      <c r="A19" s="446"/>
      <c r="B19" s="445" t="s">
        <v>674</v>
      </c>
      <c r="C19" s="466">
        <f>IFERROR(C18/C$8,0)</f>
        <v>0.30994946318251193</v>
      </c>
      <c r="D19" s="465">
        <f>IFERROR(D18/D$8,0)</f>
        <v>9.9830107586648509E-2</v>
      </c>
      <c r="E19" s="295">
        <f>IFERROR(E18/E$8,0)</f>
        <v>8.3587029297122722E-2</v>
      </c>
      <c r="F19" s="223">
        <f t="shared" ref="F19:Q19" si="2">IFERROR(F18/$S$8,0)</f>
        <v>0.10129675596547189</v>
      </c>
      <c r="G19" s="223">
        <f t="shared" si="2"/>
        <v>0.10962970089388796</v>
      </c>
      <c r="H19" s="223">
        <f t="shared" si="2"/>
        <v>0.12602807331031449</v>
      </c>
      <c r="I19" s="223">
        <f t="shared" si="2"/>
        <v>0.13129641864004862</v>
      </c>
      <c r="J19" s="223">
        <f t="shared" si="2"/>
        <v>0.12979692534592302</v>
      </c>
      <c r="K19" s="223">
        <f t="shared" si="2"/>
        <v>0.12883961545298414</v>
      </c>
      <c r="L19" s="223">
        <f t="shared" si="2"/>
        <v>0.12961110012848384</v>
      </c>
      <c r="M19" s="223">
        <f t="shared" si="2"/>
        <v>0.1452088603808119</v>
      </c>
      <c r="N19" s="223">
        <f t="shared" si="2"/>
        <v>0.14765727060918082</v>
      </c>
      <c r="O19" s="223">
        <f t="shared" si="2"/>
        <v>0.14957214817851219</v>
      </c>
      <c r="P19" s="223">
        <f t="shared" si="2"/>
        <v>0.14659464433870417</v>
      </c>
      <c r="Q19" s="223">
        <f t="shared" si="2"/>
        <v>0.1254123945972106</v>
      </c>
      <c r="R19" s="464"/>
      <c r="S19" s="295">
        <f>IFERROR(S18/S$8,0)</f>
        <v>0.12541239459721057</v>
      </c>
      <c r="T19" s="295">
        <f t="shared" si="0"/>
        <v>4.1825365300087847E-2</v>
      </c>
      <c r="U19" s="293" t="str">
        <f>IF(ISBLANK('7. BS-Key Figures (LC)'!U19),"",'7. BS-Key Figures (LC)'!U19)</f>
        <v/>
      </c>
      <c r="W19" s="9"/>
    </row>
    <row r="20" spans="1:23" ht="19.899999999999999" customHeight="1" x14ac:dyDescent="0.2">
      <c r="A20" s="213" t="s">
        <v>658</v>
      </c>
      <c r="B20" s="440"/>
      <c r="C20" s="463">
        <f>C10+C16-C18</f>
        <v>648.8817382057232</v>
      </c>
      <c r="D20" s="461">
        <f>D10+D16-D18</f>
        <v>1252.8032317531979</v>
      </c>
      <c r="E20" s="460">
        <f>E10+E16-E18</f>
        <v>3759.1651504076472</v>
      </c>
      <c r="F20" s="462">
        <f>IFERROR('7. BS-Key Figures (LC)'!F20/'Input-FX Rates'!$H$13,0)</f>
        <v>3190.3945137931032</v>
      </c>
      <c r="G20" s="462">
        <f>IFERROR('7. BS-Key Figures (LC)'!G20/'Input-FX Rates'!$H$13,0)</f>
        <v>3074.1502524137932</v>
      </c>
      <c r="H20" s="462">
        <f>IFERROR('7. BS-Key Figures (LC)'!H20/'Input-FX Rates'!$H$13,0)</f>
        <v>2742.240024137931</v>
      </c>
      <c r="I20" s="462">
        <f>IFERROR('7. BS-Key Figures (LC)'!I20/'Input-FX Rates'!$H$13,0)</f>
        <v>2340.6472593103454</v>
      </c>
      <c r="J20" s="462">
        <f>IFERROR('7. BS-Key Figures (LC)'!J20/'Input-FX Rates'!$H$13,0)</f>
        <v>2241.6454241379315</v>
      </c>
      <c r="K20" s="462">
        <f>IFERROR('7. BS-Key Figures (LC)'!K20/'Input-FX Rates'!$H$13,0)</f>
        <v>2122.8741710344834</v>
      </c>
      <c r="L20" s="462">
        <f>IFERROR('7. BS-Key Figures (LC)'!L20/'Input-FX Rates'!$H$13,0)</f>
        <v>2052.9341234482763</v>
      </c>
      <c r="M20" s="462">
        <f>IFERROR('7. BS-Key Figures (LC)'!M20/'Input-FX Rates'!$H$13,0)</f>
        <v>1695.3900868965522</v>
      </c>
      <c r="N20" s="462">
        <f>IFERROR('7. BS-Key Figures (LC)'!N20/'Input-FX Rates'!$H$13,0)</f>
        <v>1350.1708186206895</v>
      </c>
      <c r="O20" s="462">
        <f>IFERROR('7. BS-Key Figures (LC)'!O20/'Input-FX Rates'!$H$13,0)</f>
        <v>1320.6119289655169</v>
      </c>
      <c r="P20" s="462">
        <f>IFERROR('7. BS-Key Figures (LC)'!P20/'Input-FX Rates'!$H$13,0)</f>
        <v>1400.0949958620686</v>
      </c>
      <c r="Q20" s="462">
        <f>IFERROR('7. BS-Key Figures (LC)'!Q20/'Input-FX Rates'!$H$13,0)</f>
        <v>1385.8650917241375</v>
      </c>
      <c r="R20" s="461"/>
      <c r="S20" s="460">
        <f>S10+S16-S18</f>
        <v>1385.8650917241382</v>
      </c>
      <c r="T20" s="264">
        <f t="shared" si="0"/>
        <v>-2373.3000586835087</v>
      </c>
      <c r="U20" s="400" t="str">
        <f>IF(ISBLANK('7. BS-Key Figures (LC)'!U20),"",'7. BS-Key Figures (LC)'!U20)</f>
        <v/>
      </c>
      <c r="W20" s="9"/>
    </row>
    <row r="21" spans="1:23" ht="19.899999999999999" customHeight="1" x14ac:dyDescent="0.2">
      <c r="A21" s="400"/>
      <c r="B21" s="898" t="s">
        <v>674</v>
      </c>
      <c r="C21" s="903">
        <f>IFERROR(C20/C$8,0)</f>
        <v>0.10091339437364122</v>
      </c>
      <c r="D21" s="904">
        <f>IFERROR(D20/D$8,0)</f>
        <v>0.10145914818969404</v>
      </c>
      <c r="E21" s="905">
        <f>IFERROR(E20/E$8,0)</f>
        <v>0.24876120837614393</v>
      </c>
      <c r="F21" s="906">
        <f t="shared" ref="F21:Q21" si="3">IFERROR(F20/$S$8,0)</f>
        <v>0.22487739549400096</v>
      </c>
      <c r="G21" s="906">
        <f t="shared" si="3"/>
        <v>0.21668382989354357</v>
      </c>
      <c r="H21" s="906">
        <f t="shared" si="3"/>
        <v>0.19328888379838002</v>
      </c>
      <c r="I21" s="906">
        <f t="shared" si="3"/>
        <v>0.16498231086101228</v>
      </c>
      <c r="J21" s="906">
        <f t="shared" si="3"/>
        <v>0.15800409084889547</v>
      </c>
      <c r="K21" s="906">
        <f t="shared" si="3"/>
        <v>0.14963240830556399</v>
      </c>
      <c r="L21" s="906">
        <f t="shared" si="3"/>
        <v>0.14470263060129707</v>
      </c>
      <c r="M21" s="906">
        <f t="shared" si="3"/>
        <v>0.11950086593973154</v>
      </c>
      <c r="N21" s="906">
        <f t="shared" si="3"/>
        <v>9.5167821989024945E-2</v>
      </c>
      <c r="O21" s="906">
        <f t="shared" si="3"/>
        <v>9.3084341061944562E-2</v>
      </c>
      <c r="P21" s="906">
        <f t="shared" si="3"/>
        <v>9.8686765775345103E-2</v>
      </c>
      <c r="Q21" s="906">
        <f t="shared" si="3"/>
        <v>9.7683760107289741E-2</v>
      </c>
      <c r="R21" s="904"/>
      <c r="S21" s="905">
        <f>IFERROR(S20/S$8,0)</f>
        <v>9.7683760107289783E-2</v>
      </c>
      <c r="T21" s="901">
        <f t="shared" si="0"/>
        <v>-0.15107744826885416</v>
      </c>
      <c r="U21" s="400" t="str">
        <f>IF(ISBLANK('7. BS-Key Figures (LC)'!U21),"",'7. BS-Key Figures (LC)'!U21)</f>
        <v/>
      </c>
      <c r="W21" s="9" t="s">
        <v>675</v>
      </c>
    </row>
    <row r="22" spans="1:23" ht="19.899999999999999" customHeight="1" x14ac:dyDescent="0.2">
      <c r="A22" s="213" t="s">
        <v>676</v>
      </c>
      <c r="B22" s="440"/>
      <c r="C22" s="441">
        <f>IFERROR('7. BS-Key Figures (LC)'!C22/'Input-FX Rates'!$C$13,0)</f>
        <v>572.26938024272715</v>
      </c>
      <c r="D22" s="286">
        <f>IFERROR('7. BS-Key Figures (LC)'!D22/'Input-FX Rates'!$D$13,0)</f>
        <v>497.10478931527467</v>
      </c>
      <c r="E22" s="264">
        <f>IFERROR('7. BS-Key Figures (LC)'!E22/'Input-FX Rates'!$G$13,0)</f>
        <v>331.75765321900485</v>
      </c>
      <c r="F22" s="78">
        <f>IFERROR('7. BS-Key Figures (LC)'!F22/'Input-FX Rates'!$H$13,0)</f>
        <v>28.309266896551726</v>
      </c>
      <c r="G22" s="78">
        <f>IFERROR('7. BS-Key Figures (LC)'!G22/'Input-FX Rates'!$H$13,0)</f>
        <v>28.309266896551726</v>
      </c>
      <c r="H22" s="78">
        <f>IFERROR('7. BS-Key Figures (LC)'!H22/'Input-FX Rates'!$H$13,0)</f>
        <v>28.309266896551726</v>
      </c>
      <c r="I22" s="78">
        <f>IFERROR('7. BS-Key Figures (LC)'!I22/'Input-FX Rates'!$H$13,0)</f>
        <v>28.309266896551726</v>
      </c>
      <c r="J22" s="78">
        <f>IFERROR('7. BS-Key Figures (LC)'!J22/'Input-FX Rates'!$H$13,0)</f>
        <v>28.309266896551726</v>
      </c>
      <c r="K22" s="78">
        <f>IFERROR('7. BS-Key Figures (LC)'!K22/'Input-FX Rates'!$H$13,0)</f>
        <v>28.309266896551726</v>
      </c>
      <c r="L22" s="78">
        <f>IFERROR('7. BS-Key Figures (LC)'!L22/'Input-FX Rates'!$H$13,0)</f>
        <v>28.309266896551726</v>
      </c>
      <c r="M22" s="78">
        <f>IFERROR('7. BS-Key Figures (LC)'!M22/'Input-FX Rates'!$H$13,0)</f>
        <v>149.50487517241376</v>
      </c>
      <c r="N22" s="78">
        <f>IFERROR('7. BS-Key Figures (LC)'!N22/'Input-FX Rates'!$H$13,0)</f>
        <v>28.309266896551726</v>
      </c>
      <c r="O22" s="78">
        <f>IFERROR('7. BS-Key Figures (LC)'!O22/'Input-FX Rates'!$H$13,0)</f>
        <v>28.309266896551726</v>
      </c>
      <c r="P22" s="78">
        <f>IFERROR('7. BS-Key Figures (LC)'!P22/'Input-FX Rates'!$H$13,0)</f>
        <v>28.309266896551726</v>
      </c>
      <c r="Q22" s="78">
        <f>IFERROR('7. BS-Key Figures (LC)'!Q22/'Input-FX Rates'!$H$13,0)</f>
        <v>28.309273103448273</v>
      </c>
      <c r="R22" s="286"/>
      <c r="S22" s="264">
        <f>IFERROR('7. BS-Key Figures (LC)'!S22/'Input-FX Rates'!$H$13,0)</f>
        <v>460.90681724137931</v>
      </c>
      <c r="T22" s="264">
        <f t="shared" ref="T22:T23" si="4">S22-E22</f>
        <v>129.14916402237446</v>
      </c>
      <c r="U22" s="400" t="str">
        <f>IF(ISBLANK('7. BS-Key Figures (LC)'!U22),"",'7. BS-Key Figures (LC)'!U22)</f>
        <v/>
      </c>
    </row>
    <row r="23" spans="1:23" ht="19.899999999999999" customHeight="1" x14ac:dyDescent="0.2">
      <c r="A23" s="400"/>
      <c r="B23" s="898" t="s">
        <v>674</v>
      </c>
      <c r="C23" s="899">
        <f>IFERROR(C22/C$8,0)</f>
        <v>8.8998722349748829E-2</v>
      </c>
      <c r="D23" s="900">
        <f>IFERROR(D22/D$8,0)</f>
        <v>4.0258379932788149E-2</v>
      </c>
      <c r="E23" s="901">
        <f>IFERROR(E22/E$8,0)</f>
        <v>2.1953926310963993E-2</v>
      </c>
      <c r="F23" s="902"/>
      <c r="G23" s="902"/>
      <c r="H23" s="902"/>
      <c r="I23" s="902"/>
      <c r="J23" s="902"/>
      <c r="K23" s="902"/>
      <c r="L23" s="902"/>
      <c r="M23" s="902"/>
      <c r="N23" s="902"/>
      <c r="O23" s="902"/>
      <c r="P23" s="902"/>
      <c r="Q23" s="902"/>
      <c r="R23" s="900"/>
      <c r="S23" s="901">
        <f>IFERROR(S22/S$8,0)</f>
        <v>3.2487369251222455E-2</v>
      </c>
      <c r="T23" s="901">
        <f t="shared" si="4"/>
        <v>1.0533442940258462E-2</v>
      </c>
      <c r="U23" s="400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Normal="100" workbookViewId="0">
      <pane ySplit="6" topLeftCell="A7" activePane="bottomLeft" state="frozen"/>
      <selection activeCell="H16" sqref="H16"/>
      <selection pane="bottomLeft" activeCell="A7" sqref="A7"/>
    </sheetView>
  </sheetViews>
  <sheetFormatPr defaultColWidth="9.28515625" defaultRowHeight="12.75" customHeight="1" x14ac:dyDescent="0.2"/>
  <cols>
    <col min="1" max="1" width="15.28515625" style="220" customWidth="1"/>
    <col min="2" max="2" width="20" style="220" customWidth="1"/>
    <col min="3" max="3" width="51.42578125" style="220" customWidth="1"/>
    <col min="4" max="4" width="19.7109375" style="220" customWidth="1"/>
    <col min="5" max="6" width="19.28515625" style="220" customWidth="1"/>
    <col min="7" max="7" width="6.7109375" style="220" customWidth="1"/>
    <col min="8" max="8" width="164.7109375" style="220" bestFit="1" customWidth="1"/>
    <col min="9" max="16384" width="9.28515625" style="220"/>
  </cols>
  <sheetData>
    <row r="1" spans="1:8" ht="19.899999999999999" customHeight="1" x14ac:dyDescent="0.25">
      <c r="A1" s="60" t="str">
        <f>+'0. Instructions'!A1</f>
        <v>Budget 2024</v>
      </c>
      <c r="B1" s="60"/>
      <c r="C1" s="60"/>
      <c r="D1" s="218"/>
      <c r="E1" s="218"/>
      <c r="F1" s="57" t="str">
        <f>'Input-FX Rates'!$H$1</f>
        <v>Plant ICH Icheon (242)</v>
      </c>
      <c r="H1" s="389" t="s">
        <v>154</v>
      </c>
    </row>
    <row r="2" spans="1:8" ht="19.899999999999999" customHeight="1" thickBot="1" x14ac:dyDescent="0.3">
      <c r="A2" s="55" t="s">
        <v>677</v>
      </c>
      <c r="B2" s="55"/>
      <c r="C2" s="55"/>
      <c r="D2" s="55"/>
      <c r="E2" s="55"/>
      <c r="F2" s="54" t="str">
        <f>'Input-FX Rates'!$H$2</f>
        <v>7521 &amp; 7522 PL Mechatronic Sensors (&amp; Electrification)</v>
      </c>
      <c r="H2" s="95" t="s">
        <v>156</v>
      </c>
    </row>
    <row r="5" spans="1:8" ht="55.5" customHeight="1" x14ac:dyDescent="0.2">
      <c r="A5" s="1027">
        <v>2023</v>
      </c>
      <c r="B5" s="1030"/>
      <c r="C5" s="187"/>
      <c r="D5" s="215">
        <v>2024</v>
      </c>
      <c r="E5" s="186" t="s">
        <v>678</v>
      </c>
      <c r="F5" s="186" t="s">
        <v>679</v>
      </c>
    </row>
    <row r="6" spans="1:8" ht="47.25" x14ac:dyDescent="0.2">
      <c r="A6" s="489" t="s">
        <v>680</v>
      </c>
      <c r="B6" s="187" t="s">
        <v>681</v>
      </c>
      <c r="C6" s="187" t="s">
        <v>682</v>
      </c>
      <c r="D6" s="215" t="s">
        <v>683</v>
      </c>
      <c r="E6" s="186"/>
      <c r="F6" s="186"/>
      <c r="H6" s="266" t="s">
        <v>684</v>
      </c>
    </row>
    <row r="7" spans="1:8" ht="14.25" customHeight="1" x14ac:dyDescent="0.2">
      <c r="A7" s="488">
        <v>0.59</v>
      </c>
      <c r="B7" s="487">
        <v>1.2</v>
      </c>
      <c r="C7" s="735" t="s">
        <v>685</v>
      </c>
      <c r="D7" s="485">
        <v>110</v>
      </c>
      <c r="E7" s="484">
        <f t="shared" ref="E7:E17" si="0">D7-B7</f>
        <v>108.8</v>
      </c>
      <c r="F7" s="483">
        <f t="shared" ref="F7:F18" si="1">IFERROR(D7/B7-1,0)</f>
        <v>90.666666666666671</v>
      </c>
    </row>
    <row r="8" spans="1:8" ht="14.25" customHeight="1" x14ac:dyDescent="0.2">
      <c r="A8" s="488">
        <v>0.24</v>
      </c>
      <c r="B8" s="487">
        <v>5618.23</v>
      </c>
      <c r="C8" s="735" t="s">
        <v>686</v>
      </c>
      <c r="D8" s="485">
        <v>4755.9440000000004</v>
      </c>
      <c r="E8" s="484">
        <f t="shared" si="0"/>
        <v>-862.28599999999915</v>
      </c>
      <c r="F8" s="483">
        <f t="shared" si="1"/>
        <v>-0.15348001060832317</v>
      </c>
    </row>
    <row r="9" spans="1:8" ht="14.25" customHeight="1" x14ac:dyDescent="0.2">
      <c r="A9" s="488"/>
      <c r="B9" s="487"/>
      <c r="C9" s="735"/>
      <c r="D9" s="485"/>
      <c r="E9" s="484">
        <f t="shared" si="0"/>
        <v>0</v>
      </c>
      <c r="F9" s="483">
        <f t="shared" si="1"/>
        <v>0</v>
      </c>
    </row>
    <row r="10" spans="1:8" ht="14.25" customHeight="1" x14ac:dyDescent="0.2">
      <c r="A10" s="488"/>
      <c r="B10" s="487"/>
      <c r="C10" s="735"/>
      <c r="D10" s="485"/>
      <c r="E10" s="484">
        <f t="shared" si="0"/>
        <v>0</v>
      </c>
      <c r="F10" s="483">
        <f t="shared" si="1"/>
        <v>0</v>
      </c>
    </row>
    <row r="11" spans="1:8" ht="14.25" customHeight="1" x14ac:dyDescent="0.2">
      <c r="A11" s="488"/>
      <c r="B11" s="487"/>
      <c r="C11" s="486"/>
      <c r="D11" s="485"/>
      <c r="E11" s="484">
        <f t="shared" si="0"/>
        <v>0</v>
      </c>
      <c r="F11" s="483">
        <f t="shared" si="1"/>
        <v>0</v>
      </c>
    </row>
    <row r="12" spans="1:8" ht="14.25" customHeight="1" x14ac:dyDescent="0.2">
      <c r="A12" s="488"/>
      <c r="B12" s="487"/>
      <c r="C12" s="486"/>
      <c r="D12" s="485"/>
      <c r="E12" s="484">
        <f t="shared" si="0"/>
        <v>0</v>
      </c>
      <c r="F12" s="483">
        <f t="shared" si="1"/>
        <v>0</v>
      </c>
    </row>
    <row r="13" spans="1:8" ht="14.25" customHeight="1" x14ac:dyDescent="0.2">
      <c r="A13" s="488"/>
      <c r="B13" s="487"/>
      <c r="C13" s="486"/>
      <c r="D13" s="485"/>
      <c r="E13" s="484">
        <f t="shared" si="0"/>
        <v>0</v>
      </c>
      <c r="F13" s="483">
        <f t="shared" si="1"/>
        <v>0</v>
      </c>
    </row>
    <row r="14" spans="1:8" ht="15" x14ac:dyDescent="0.2">
      <c r="A14" s="488"/>
      <c r="B14" s="487"/>
      <c r="C14" s="486"/>
      <c r="D14" s="485"/>
      <c r="E14" s="484">
        <f t="shared" si="0"/>
        <v>0</v>
      </c>
      <c r="F14" s="483">
        <f t="shared" si="1"/>
        <v>0</v>
      </c>
    </row>
    <row r="15" spans="1:8" ht="15" x14ac:dyDescent="0.2">
      <c r="A15" s="488"/>
      <c r="B15" s="487"/>
      <c r="C15" s="486"/>
      <c r="D15" s="485"/>
      <c r="E15" s="484">
        <f t="shared" si="0"/>
        <v>0</v>
      </c>
      <c r="F15" s="483">
        <f t="shared" si="1"/>
        <v>0</v>
      </c>
    </row>
    <row r="16" spans="1:8" ht="15" x14ac:dyDescent="0.2">
      <c r="A16" s="488"/>
      <c r="B16" s="487"/>
      <c r="C16" s="486"/>
      <c r="D16" s="485"/>
      <c r="E16" s="484">
        <f t="shared" si="0"/>
        <v>0</v>
      </c>
      <c r="F16" s="483">
        <f t="shared" si="1"/>
        <v>0</v>
      </c>
    </row>
    <row r="17" spans="1:8" ht="15" x14ac:dyDescent="0.2">
      <c r="A17" s="482"/>
      <c r="B17" s="481"/>
      <c r="C17" s="480"/>
      <c r="D17" s="479"/>
      <c r="E17" s="478">
        <f t="shared" si="0"/>
        <v>0</v>
      </c>
      <c r="F17" s="477">
        <f t="shared" si="1"/>
        <v>0</v>
      </c>
    </row>
    <row r="18" spans="1:8" ht="25.5" x14ac:dyDescent="0.2">
      <c r="A18" s="417"/>
      <c r="B18" s="80">
        <f>SUM(B7:B17)</f>
        <v>5619.4299999999994</v>
      </c>
      <c r="C18" s="476" t="s">
        <v>687</v>
      </c>
      <c r="D18" s="78">
        <f>SUM(D7:D17)</f>
        <v>4865.9440000000004</v>
      </c>
      <c r="E18" s="78">
        <f>SUM(E7:E17)</f>
        <v>-753.48599999999919</v>
      </c>
      <c r="F18" s="475">
        <f t="shared" si="1"/>
        <v>-0.13408584144655222</v>
      </c>
      <c r="H18" s="9" t="s">
        <v>688</v>
      </c>
    </row>
  </sheetData>
  <mergeCells count="1">
    <mergeCell ref="A5:B5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Normal="100" workbookViewId="0">
      <pane xSplit="2" ySplit="7" topLeftCell="C8" activePane="bottomRight" state="frozen"/>
      <selection pane="topRight" activeCell="H16" sqref="H16"/>
      <selection pane="bottomLeft" activeCell="H16" sqref="H16"/>
      <selection pane="bottomRight" activeCell="C29" sqref="C29"/>
    </sheetView>
  </sheetViews>
  <sheetFormatPr defaultColWidth="9.28515625" defaultRowHeight="12.75" x14ac:dyDescent="0.2"/>
  <cols>
    <col min="1" max="1" width="73.28515625" style="490" customWidth="1"/>
    <col min="2" max="2" width="26" style="490" customWidth="1"/>
    <col min="3" max="3" width="30" style="490" customWidth="1"/>
    <col min="4" max="4" width="26.7109375" style="490" customWidth="1"/>
    <col min="5" max="5" width="21.7109375" style="490" customWidth="1"/>
    <col min="6" max="6" width="16.28515625" style="490" customWidth="1"/>
    <col min="7" max="7" width="37.28515625" style="490" customWidth="1"/>
    <col min="8" max="8" width="9.28515625" style="490"/>
    <col min="9" max="9" width="104.7109375" style="490" bestFit="1" customWidth="1"/>
    <col min="10" max="16384" width="9.28515625" style="490"/>
  </cols>
  <sheetData>
    <row r="1" spans="1:9" ht="20.25" x14ac:dyDescent="0.3">
      <c r="A1" s="60" t="str">
        <f>+'0. Instructions'!A1</f>
        <v>Budget 2024</v>
      </c>
      <c r="B1" s="513"/>
      <c r="C1" s="513"/>
      <c r="D1" s="512"/>
      <c r="E1" s="512"/>
      <c r="F1" s="57"/>
      <c r="G1" s="57" t="str">
        <f>'Input-FX Rates'!$H$1</f>
        <v>Plant ICH Icheon (242)</v>
      </c>
      <c r="H1" s="511"/>
      <c r="I1" s="389" t="s">
        <v>154</v>
      </c>
    </row>
    <row r="2" spans="1:9" ht="18.75" thickBot="1" x14ac:dyDescent="0.3">
      <c r="A2" s="55" t="s">
        <v>689</v>
      </c>
      <c r="B2" s="55"/>
      <c r="C2" s="55"/>
      <c r="D2" s="55"/>
      <c r="E2" s="55"/>
      <c r="F2" s="54"/>
      <c r="G2" s="54" t="str">
        <f>'Input-FX Rates'!$H$2</f>
        <v>7521 &amp; 7522 PL Mechatronic Sensors (&amp; Electrification)</v>
      </c>
      <c r="H2" s="510"/>
      <c r="I2" s="95" t="s">
        <v>156</v>
      </c>
    </row>
    <row r="3" spans="1:9" ht="15.75" x14ac:dyDescent="0.25">
      <c r="A3" s="509"/>
      <c r="B3" s="509"/>
      <c r="C3" s="509"/>
      <c r="D3" s="509"/>
      <c r="E3" s="509"/>
      <c r="F3" s="509"/>
      <c r="G3" s="509"/>
      <c r="H3" s="509"/>
      <c r="I3" s="220"/>
    </row>
    <row r="4" spans="1:9" ht="15.75" customHeight="1" x14ac:dyDescent="0.25">
      <c r="A4" s="303" t="str">
        <f>"in '000 "&amp;'Input-FX Rates'!$B$8</f>
        <v>in '000 KRW</v>
      </c>
      <c r="B4" s="187"/>
      <c r="C4" s="1029" t="s">
        <v>690</v>
      </c>
      <c r="D4" s="1030"/>
      <c r="E4" s="1029" t="s">
        <v>691</v>
      </c>
      <c r="F4" s="1028"/>
      <c r="G4" s="186" t="s">
        <v>692</v>
      </c>
      <c r="H4" s="491"/>
      <c r="I4" s="242"/>
    </row>
    <row r="5" spans="1:9" ht="15.75" x14ac:dyDescent="0.25">
      <c r="A5" s="186"/>
      <c r="B5" s="187"/>
      <c r="C5" s="508" t="s">
        <v>693</v>
      </c>
      <c r="D5" s="187" t="s">
        <v>694</v>
      </c>
      <c r="E5" s="186" t="s">
        <v>695</v>
      </c>
      <c r="F5" s="644" t="s">
        <v>424</v>
      </c>
      <c r="G5" s="186"/>
      <c r="H5" s="491"/>
      <c r="I5" s="242" t="s">
        <v>696</v>
      </c>
    </row>
    <row r="6" spans="1:9" ht="15.75" x14ac:dyDescent="0.25">
      <c r="A6" s="186"/>
      <c r="B6" s="187"/>
      <c r="C6" s="508"/>
      <c r="D6" s="187"/>
      <c r="E6" s="186"/>
      <c r="F6" s="644"/>
      <c r="G6" s="186"/>
      <c r="H6" s="491"/>
      <c r="I6" s="241"/>
    </row>
    <row r="7" spans="1:9" ht="15.75" x14ac:dyDescent="0.25">
      <c r="A7" s="507"/>
      <c r="B7" s="506"/>
      <c r="C7" s="504"/>
      <c r="D7" s="505"/>
      <c r="E7" s="504"/>
      <c r="F7" s="503"/>
      <c r="G7" s="502"/>
      <c r="H7" s="491"/>
      <c r="I7" s="242" t="s">
        <v>697</v>
      </c>
    </row>
    <row r="8" spans="1:9" ht="15.75" x14ac:dyDescent="0.25">
      <c r="A8" s="970" t="s">
        <v>698</v>
      </c>
      <c r="B8" s="971">
        <v>44805</v>
      </c>
      <c r="C8" s="972">
        <v>10640210.650514999</v>
      </c>
      <c r="D8" s="973">
        <v>10491361.033334998</v>
      </c>
      <c r="E8" s="974">
        <f t="shared" ref="E8:E13" si="0">D8-C8</f>
        <v>-148849.61718000099</v>
      </c>
      <c r="F8" s="975">
        <v>0</v>
      </c>
      <c r="G8" s="976"/>
      <c r="H8" s="491"/>
      <c r="I8" s="242" t="s">
        <v>699</v>
      </c>
    </row>
    <row r="9" spans="1:9" ht="15.75" x14ac:dyDescent="0.25">
      <c r="A9" s="500" t="s">
        <v>700</v>
      </c>
      <c r="B9" s="499"/>
      <c r="C9" s="498">
        <v>64924.38</v>
      </c>
      <c r="D9" s="497">
        <v>70788</v>
      </c>
      <c r="E9" s="496">
        <f t="shared" si="0"/>
        <v>5863.6200000000026</v>
      </c>
      <c r="F9" s="495">
        <f t="shared" ref="F9:F14" si="1">ROUND(IF(C9=0,0,E9/C9),3)</f>
        <v>0.09</v>
      </c>
      <c r="G9" s="494" t="s">
        <v>701</v>
      </c>
      <c r="H9" s="491"/>
      <c r="I9" s="242" t="s">
        <v>702</v>
      </c>
    </row>
    <row r="10" spans="1:9" ht="15.75" x14ac:dyDescent="0.25">
      <c r="A10" s="500" t="s">
        <v>703</v>
      </c>
      <c r="B10" s="499"/>
      <c r="C10" s="498"/>
      <c r="D10" s="497"/>
      <c r="E10" s="496">
        <f t="shared" si="0"/>
        <v>0</v>
      </c>
      <c r="F10" s="495">
        <f t="shared" si="1"/>
        <v>0</v>
      </c>
      <c r="G10" s="494"/>
      <c r="H10" s="491"/>
      <c r="I10" s="242" t="s">
        <v>702</v>
      </c>
    </row>
    <row r="11" spans="1:9" ht="15.75" x14ac:dyDescent="0.25">
      <c r="A11" s="500" t="s">
        <v>704</v>
      </c>
      <c r="B11" s="499"/>
      <c r="C11" s="498"/>
      <c r="D11" s="497"/>
      <c r="E11" s="496">
        <f t="shared" si="0"/>
        <v>0</v>
      </c>
      <c r="F11" s="495">
        <f t="shared" si="1"/>
        <v>0</v>
      </c>
      <c r="G11" s="494"/>
      <c r="H11" s="491"/>
      <c r="I11" s="242" t="s">
        <v>702</v>
      </c>
    </row>
    <row r="12" spans="1:9" ht="15.75" x14ac:dyDescent="0.25">
      <c r="A12" s="500" t="s">
        <v>705</v>
      </c>
      <c r="B12" s="499"/>
      <c r="C12" s="498"/>
      <c r="D12" s="497"/>
      <c r="E12" s="496">
        <f t="shared" si="0"/>
        <v>0</v>
      </c>
      <c r="F12" s="495">
        <f t="shared" si="1"/>
        <v>0</v>
      </c>
      <c r="G12" s="494"/>
      <c r="H12" s="491"/>
      <c r="I12" s="242" t="s">
        <v>702</v>
      </c>
    </row>
    <row r="13" spans="1:9" ht="15.75" x14ac:dyDescent="0.25">
      <c r="A13" s="500" t="s">
        <v>706</v>
      </c>
      <c r="B13" s="499"/>
      <c r="C13" s="498"/>
      <c r="D13" s="497"/>
      <c r="E13" s="496">
        <f t="shared" si="0"/>
        <v>0</v>
      </c>
      <c r="F13" s="495">
        <f t="shared" si="1"/>
        <v>0</v>
      </c>
      <c r="G13" s="494"/>
      <c r="H13" s="491"/>
      <c r="I13" s="242"/>
    </row>
    <row r="14" spans="1:9" ht="15.75" x14ac:dyDescent="0.25">
      <c r="A14" s="493" t="s">
        <v>707</v>
      </c>
      <c r="B14" s="80"/>
      <c r="C14" s="78">
        <f>SUM(C8:C13)</f>
        <v>10705135.030515</v>
      </c>
      <c r="D14" s="80">
        <f>SUM(D8:D13)</f>
        <v>10562149.033334998</v>
      </c>
      <c r="E14" s="78">
        <f>SUM(E8:E13)</f>
        <v>-142985.997180001</v>
      </c>
      <c r="F14" s="492">
        <f t="shared" si="1"/>
        <v>-1.2999999999999999E-2</v>
      </c>
      <c r="G14" s="416"/>
      <c r="H14" s="491"/>
      <c r="I14" s="242" t="s">
        <v>708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Normal="100" workbookViewId="0">
      <pane xSplit="2" ySplit="7" topLeftCell="C8" activePane="bottomRight" state="frozen"/>
      <selection pane="topRight" activeCell="H16" sqref="H16"/>
      <selection pane="bottomLeft" activeCell="H16" sqref="H16"/>
      <selection pane="bottomRight" activeCell="A30" sqref="A30:A31"/>
    </sheetView>
  </sheetViews>
  <sheetFormatPr defaultColWidth="9.28515625" defaultRowHeight="12.75" x14ac:dyDescent="0.2"/>
  <cols>
    <col min="1" max="1" width="74.42578125" style="490" bestFit="1" customWidth="1"/>
    <col min="2" max="2" width="12.7109375" style="490" bestFit="1" customWidth="1"/>
    <col min="3" max="3" width="30" style="490" customWidth="1"/>
    <col min="4" max="4" width="26.7109375" style="490" customWidth="1"/>
    <col min="5" max="5" width="21.7109375" style="490" customWidth="1"/>
    <col min="6" max="6" width="16.28515625" style="490" customWidth="1"/>
    <col min="7" max="7" width="60.42578125" style="490" customWidth="1"/>
    <col min="8" max="8" width="2.7109375" style="490" customWidth="1"/>
    <col min="9" max="9" width="102.5703125" style="490" bestFit="1" customWidth="1"/>
    <col min="10" max="16384" width="9.28515625" style="490"/>
  </cols>
  <sheetData>
    <row r="1" spans="1:9" ht="20.25" x14ac:dyDescent="0.3">
      <c r="A1" s="60" t="str">
        <f>+'0. Instructions'!A1</f>
        <v>Budget 2024</v>
      </c>
      <c r="B1" s="513"/>
      <c r="C1" s="513"/>
      <c r="D1" s="512"/>
      <c r="E1" s="512"/>
      <c r="F1" s="57"/>
      <c r="G1" s="57" t="str">
        <f>'Input-FX Rates'!$H$1</f>
        <v>Plant ICH Icheon (242)</v>
      </c>
      <c r="H1" s="511"/>
      <c r="I1" s="389" t="s">
        <v>154</v>
      </c>
    </row>
    <row r="2" spans="1:9" ht="18.75" thickBot="1" x14ac:dyDescent="0.3">
      <c r="A2" s="55" t="s">
        <v>689</v>
      </c>
      <c r="B2" s="55"/>
      <c r="C2" s="55"/>
      <c r="D2" s="55"/>
      <c r="E2" s="55"/>
      <c r="F2" s="54"/>
      <c r="G2" s="54" t="str">
        <f>'Input-FX Rates'!$H$2</f>
        <v>7521 &amp; 7522 PL Mechatronic Sensors (&amp; Electrification)</v>
      </c>
      <c r="H2" s="510"/>
      <c r="I2" s="95" t="s">
        <v>156</v>
      </c>
    </row>
    <row r="3" spans="1:9" ht="15.75" x14ac:dyDescent="0.25">
      <c r="A3" s="509"/>
      <c r="B3" s="509"/>
      <c r="C3" s="509"/>
      <c r="D3" s="509"/>
      <c r="E3" s="509"/>
      <c r="F3" s="509"/>
      <c r="G3" s="509"/>
      <c r="H3" s="509"/>
      <c r="I3" s="220"/>
    </row>
    <row r="4" spans="1:9" ht="15.75" customHeight="1" x14ac:dyDescent="0.25">
      <c r="A4" s="303" t="str">
        <f>"in '000 "&amp;"EUR"</f>
        <v>in '000 EUR</v>
      </c>
      <c r="B4" s="187"/>
      <c r="C4" s="1029" t="s">
        <v>690</v>
      </c>
      <c r="D4" s="1030"/>
      <c r="E4" s="1029" t="s">
        <v>691</v>
      </c>
      <c r="F4" s="1027"/>
      <c r="G4" s="303" t="s">
        <v>692</v>
      </c>
      <c r="H4" s="491"/>
      <c r="I4" s="242"/>
    </row>
    <row r="5" spans="1:9" ht="15.75" x14ac:dyDescent="0.25">
      <c r="A5" s="186"/>
      <c r="B5" s="187"/>
      <c r="C5" s="508" t="s">
        <v>693</v>
      </c>
      <c r="D5" s="187" t="s">
        <v>694</v>
      </c>
      <c r="E5" s="186" t="s">
        <v>695</v>
      </c>
      <c r="F5" s="186" t="s">
        <v>424</v>
      </c>
      <c r="G5" s="303"/>
      <c r="H5" s="491"/>
      <c r="I5" s="242" t="s">
        <v>696</v>
      </c>
    </row>
    <row r="6" spans="1:9" ht="15.75" x14ac:dyDescent="0.25">
      <c r="A6" s="186"/>
      <c r="B6" s="187"/>
      <c r="C6" s="186"/>
      <c r="D6" s="187"/>
      <c r="E6" s="186"/>
      <c r="F6" s="186"/>
      <c r="G6" s="303"/>
      <c r="H6" s="491"/>
      <c r="I6" s="241"/>
    </row>
    <row r="7" spans="1:9" ht="15.75" x14ac:dyDescent="0.25">
      <c r="A7" s="507"/>
      <c r="B7" s="506"/>
      <c r="C7" s="504"/>
      <c r="D7" s="505"/>
      <c r="E7" s="504"/>
      <c r="F7" s="522"/>
      <c r="G7" s="521"/>
      <c r="H7" s="491"/>
      <c r="I7" s="242" t="s">
        <v>697</v>
      </c>
    </row>
    <row r="8" spans="1:9" ht="15.75" x14ac:dyDescent="0.25">
      <c r="A8" s="493" t="s">
        <v>698</v>
      </c>
      <c r="B8" s="501">
        <f>+'10. Purchasing (LC)'!B8</f>
        <v>44805</v>
      </c>
      <c r="C8" s="78">
        <f>+'10. Purchasing (LC)'!C8/'Input-FX Rates'!$H$16</f>
        <v>7338.0763106999993</v>
      </c>
      <c r="D8" s="80">
        <f>+'10. Purchasing (LC)'!D8/'Input-FX Rates'!$H$16</f>
        <v>7235.4214022999986</v>
      </c>
      <c r="E8" s="78">
        <f t="shared" ref="E8" si="0">D8-C8</f>
        <v>-102.65490840000075</v>
      </c>
      <c r="F8" s="417">
        <f t="shared" ref="F8" si="1">ROUND(IF(C8=0,0,E8/C8),3)</f>
        <v>-1.4E-2</v>
      </c>
      <c r="G8" s="514" t="str">
        <f>IF('10. Purchasing (LC)'!G8="", "", '10. Purchasing (LC)'!G8)</f>
        <v/>
      </c>
      <c r="H8" s="491"/>
      <c r="I8" s="242" t="s">
        <v>699</v>
      </c>
    </row>
    <row r="9" spans="1:9" ht="17.25" customHeight="1" x14ac:dyDescent="0.25">
      <c r="A9" s="520" t="str">
        <f>IF('10. Purchasing (LC)'!A9="", "", '10. Purchasing (LC)'!A9)</f>
        <v>DHS missing portion</v>
      </c>
      <c r="B9" s="519"/>
      <c r="C9" s="518">
        <f>+'10. Purchasing (LC)'!C9/'Input-FX Rates'!$H$16</f>
        <v>44.775434482758619</v>
      </c>
      <c r="D9" s="517">
        <f>+'10. Purchasing (LC)'!D9/'Input-FX Rates'!$H$16</f>
        <v>48.819310344827585</v>
      </c>
      <c r="E9" s="496">
        <f t="shared" ref="E9:E13" si="2">D9-C9</f>
        <v>4.0438758620689654</v>
      </c>
      <c r="F9" s="516">
        <f t="shared" ref="F9:F14" si="3">ROUND(IF(C9=0,0,E9/C9),3)</f>
        <v>0.09</v>
      </c>
      <c r="G9" s="515" t="str">
        <f>IF('10. Purchasing (LC)'!G9="", "", '10. Purchasing (LC)'!G9)</f>
        <v>inclusion for missing data in MODIAS(A2C37836303)</v>
      </c>
      <c r="H9" s="491"/>
      <c r="I9" s="242" t="s">
        <v>702</v>
      </c>
    </row>
    <row r="10" spans="1:9" ht="15.75" x14ac:dyDescent="0.25">
      <c r="A10" s="520" t="str">
        <f>IF('10. Purchasing (LC)'!A10="", "", '10. Purchasing (LC)'!A10)</f>
        <v>Specifiy deviation to Modias 2</v>
      </c>
      <c r="B10" s="519"/>
      <c r="C10" s="518">
        <f>+'10. Purchasing (LC)'!C10/'Input-FX Rates'!$H$16</f>
        <v>0</v>
      </c>
      <c r="D10" s="517">
        <f>+'10. Purchasing (LC)'!D10/'Input-FX Rates'!$H$16</f>
        <v>0</v>
      </c>
      <c r="E10" s="496">
        <f t="shared" si="2"/>
        <v>0</v>
      </c>
      <c r="F10" s="516">
        <f t="shared" si="3"/>
        <v>0</v>
      </c>
      <c r="G10" s="515" t="str">
        <f>IF('10. Purchasing (LC)'!G10="", "", '10. Purchasing (LC)'!G10)</f>
        <v/>
      </c>
      <c r="H10" s="491"/>
      <c r="I10" s="242" t="s">
        <v>702</v>
      </c>
    </row>
    <row r="11" spans="1:9" ht="15.75" x14ac:dyDescent="0.25">
      <c r="A11" s="520" t="str">
        <f>IF('10. Purchasing (LC)'!A11="", "", '10. Purchasing (LC)'!A11)</f>
        <v>Specifiy deviation to Modias 3</v>
      </c>
      <c r="B11" s="519"/>
      <c r="C11" s="518">
        <f>+'10. Purchasing (LC)'!C11/'Input-FX Rates'!$H$16</f>
        <v>0</v>
      </c>
      <c r="D11" s="517">
        <f>+'10. Purchasing (LC)'!D11/'Input-FX Rates'!$H$16</f>
        <v>0</v>
      </c>
      <c r="E11" s="496">
        <f t="shared" si="2"/>
        <v>0</v>
      </c>
      <c r="F11" s="516">
        <f t="shared" si="3"/>
        <v>0</v>
      </c>
      <c r="G11" s="515" t="str">
        <f>IF('10. Purchasing (LC)'!G11="", "", '10. Purchasing (LC)'!G11)</f>
        <v/>
      </c>
      <c r="H11" s="491"/>
      <c r="I11" s="242" t="s">
        <v>702</v>
      </c>
    </row>
    <row r="12" spans="1:9" ht="15.75" x14ac:dyDescent="0.25">
      <c r="A12" s="520" t="str">
        <f>IF('10. Purchasing (LC)'!A12="", "", '10. Purchasing (LC)'!A12)</f>
        <v>Specifiy deviation to Modias 4</v>
      </c>
      <c r="B12" s="519"/>
      <c r="C12" s="518">
        <f>+'10. Purchasing (LC)'!C12/'Input-FX Rates'!$H$16</f>
        <v>0</v>
      </c>
      <c r="D12" s="517">
        <f>+'10. Purchasing (LC)'!D12/'Input-FX Rates'!$H$16</f>
        <v>0</v>
      </c>
      <c r="E12" s="496">
        <f t="shared" si="2"/>
        <v>0</v>
      </c>
      <c r="F12" s="516">
        <f t="shared" si="3"/>
        <v>0</v>
      </c>
      <c r="G12" s="515" t="str">
        <f>IF('10. Purchasing (LC)'!G12="", "", '10. Purchasing (LC)'!G12)</f>
        <v/>
      </c>
      <c r="H12" s="491"/>
      <c r="I12" s="242" t="s">
        <v>702</v>
      </c>
    </row>
    <row r="13" spans="1:9" ht="15.75" x14ac:dyDescent="0.25">
      <c r="A13" s="520" t="str">
        <f>IF('10. Purchasing (LC)'!A13="", "", '10. Purchasing (LC)'!A13)</f>
        <v>Specifiy deviation to Modias 5</v>
      </c>
      <c r="B13" s="519"/>
      <c r="C13" s="518">
        <f>+'10. Purchasing (LC)'!C13/'Input-FX Rates'!$H$16</f>
        <v>0</v>
      </c>
      <c r="D13" s="517">
        <f>+'10. Purchasing (LC)'!D13/'Input-FX Rates'!$H$16</f>
        <v>0</v>
      </c>
      <c r="E13" s="496">
        <f t="shared" si="2"/>
        <v>0</v>
      </c>
      <c r="F13" s="516">
        <f t="shared" si="3"/>
        <v>0</v>
      </c>
      <c r="G13" s="515" t="str">
        <f>IF('10. Purchasing (LC)'!G13="", "", '10. Purchasing (LC)'!G13)</f>
        <v/>
      </c>
      <c r="H13" s="491"/>
      <c r="I13" s="242"/>
    </row>
    <row r="14" spans="1:9" ht="15.75" x14ac:dyDescent="0.25">
      <c r="A14" s="493" t="s">
        <v>707</v>
      </c>
      <c r="B14" s="80"/>
      <c r="C14" s="78">
        <f>+'10. Purchasing (LC)'!C14/'Input-FX Rates'!$H$16</f>
        <v>7382.8517451827583</v>
      </c>
      <c r="D14" s="80">
        <f>+'10. Purchasing (LC)'!D14/'Input-FX Rates'!$H$16</f>
        <v>7284.2407126448261</v>
      </c>
      <c r="E14" s="78">
        <f>SUM(E8:E13)</f>
        <v>-98.611032537931777</v>
      </c>
      <c r="F14" s="417">
        <f t="shared" si="3"/>
        <v>-1.2999999999999999E-2</v>
      </c>
      <c r="G14" s="514" t="str">
        <f>IF('10. Purchasing (LC)'!G14="", "", '10. Purchasing (LC)'!G14)</f>
        <v/>
      </c>
      <c r="H14" s="491"/>
      <c r="I14" s="242" t="s">
        <v>708</v>
      </c>
    </row>
  </sheetData>
  <mergeCells count="2">
    <mergeCell ref="C4:D4"/>
    <mergeCell ref="E4:F4"/>
  </mergeCells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tabSelected="1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F13" sqref="F13"/>
    </sheetView>
  </sheetViews>
  <sheetFormatPr defaultColWidth="9.28515625" defaultRowHeight="12.75" customHeight="1" x14ac:dyDescent="0.2"/>
  <cols>
    <col min="1" max="1" width="52.85546875" style="220" customWidth="1"/>
    <col min="2" max="4" width="36.7109375" style="220" customWidth="1"/>
    <col min="5" max="5" width="9.28515625" style="220"/>
    <col min="6" max="6" width="88.7109375" style="220" bestFit="1" customWidth="1"/>
    <col min="7" max="16384" width="9.28515625" style="439"/>
  </cols>
  <sheetData>
    <row r="1" spans="1:6" ht="19.899999999999999" customHeight="1" x14ac:dyDescent="0.25">
      <c r="A1" s="60" t="str">
        <f>+'0. Instructions'!A1</f>
        <v>Budget 2024</v>
      </c>
      <c r="B1" s="60"/>
      <c r="C1" s="736"/>
      <c r="D1" s="57" t="str">
        <f>'Input-FX Rates'!$H$1</f>
        <v>Plant ICH Icheon (242)</v>
      </c>
      <c r="F1" s="389" t="s">
        <v>154</v>
      </c>
    </row>
    <row r="2" spans="1:6" ht="19.899999999999999" customHeight="1" thickBot="1" x14ac:dyDescent="0.3">
      <c r="A2" s="55" t="s">
        <v>709</v>
      </c>
      <c r="B2" s="55"/>
      <c r="C2" s="55"/>
      <c r="D2" s="54" t="str">
        <f>'Input-FX Rates'!$H$2</f>
        <v>7521 &amp; 7522 PL Mechatronic Sensors (&amp; Electrification)</v>
      </c>
      <c r="F2" s="95" t="s">
        <v>156</v>
      </c>
    </row>
    <row r="4" spans="1:6" ht="24" customHeight="1" x14ac:dyDescent="0.2">
      <c r="A4" s="644" t="str">
        <f>"in '000 "&amp;'Input-FX Rates'!$B$8</f>
        <v>in '000 KRW</v>
      </c>
      <c r="B4" s="1027" t="s">
        <v>153</v>
      </c>
      <c r="C4" s="1027"/>
      <c r="D4" s="1028"/>
      <c r="F4" s="266" t="s">
        <v>710</v>
      </c>
    </row>
    <row r="5" spans="1:6" ht="24" customHeight="1" x14ac:dyDescent="0.2">
      <c r="A5" s="644"/>
      <c r="B5" s="186" t="s">
        <v>195</v>
      </c>
      <c r="C5" s="186" t="s">
        <v>207</v>
      </c>
      <c r="D5" s="644" t="s">
        <v>711</v>
      </c>
    </row>
    <row r="6" spans="1:6" ht="19.149999999999999" customHeight="1" x14ac:dyDescent="0.2">
      <c r="A6" s="688" t="s">
        <v>712</v>
      </c>
      <c r="B6" s="689">
        <v>0</v>
      </c>
      <c r="C6" s="689">
        <v>0</v>
      </c>
      <c r="D6" s="690">
        <v>0</v>
      </c>
      <c r="F6" s="266" t="s">
        <v>713</v>
      </c>
    </row>
    <row r="7" spans="1:6" ht="19.149999999999999" customHeight="1" x14ac:dyDescent="0.2">
      <c r="A7" s="688" t="s">
        <v>714</v>
      </c>
      <c r="B7" s="689"/>
      <c r="C7" s="689"/>
      <c r="D7" s="690"/>
    </row>
    <row r="8" spans="1:6" ht="19.149999999999999" customHeight="1" x14ac:dyDescent="0.2">
      <c r="A8" s="688" t="s">
        <v>715</v>
      </c>
      <c r="B8" s="689"/>
      <c r="C8" s="689"/>
      <c r="D8" s="690"/>
    </row>
    <row r="9" spans="1:6" ht="19.149999999999999" customHeight="1" x14ac:dyDescent="0.2">
      <c r="A9" s="688" t="s">
        <v>716</v>
      </c>
      <c r="B9" s="689"/>
      <c r="C9" s="689"/>
      <c r="D9" s="690"/>
    </row>
    <row r="10" spans="1:6" ht="19.149999999999999" customHeight="1" x14ac:dyDescent="0.2">
      <c r="A10" s="688" t="s">
        <v>717</v>
      </c>
      <c r="B10" s="689"/>
      <c r="C10" s="689"/>
      <c r="D10" s="690"/>
    </row>
    <row r="11" spans="1:6" ht="19.149999999999999" customHeight="1" x14ac:dyDescent="0.2">
      <c r="A11" s="688" t="s">
        <v>718</v>
      </c>
      <c r="B11" s="689"/>
      <c r="C11" s="689"/>
      <c r="D11" s="690"/>
    </row>
    <row r="12" spans="1:6" ht="19.149999999999999" customHeight="1" x14ac:dyDescent="0.2">
      <c r="A12" s="688" t="s">
        <v>719</v>
      </c>
      <c r="B12" s="689"/>
      <c r="C12" s="689"/>
      <c r="D12" s="690"/>
    </row>
    <row r="13" spans="1:6" ht="19.149999999999999" customHeight="1" x14ac:dyDescent="0.2">
      <c r="A13" s="688" t="s">
        <v>720</v>
      </c>
      <c r="B13" s="689"/>
      <c r="C13" s="689"/>
      <c r="D13" s="690"/>
    </row>
    <row r="14" spans="1:6" ht="19.149999999999999" customHeight="1" x14ac:dyDescent="0.2">
      <c r="A14" s="688" t="s">
        <v>721</v>
      </c>
      <c r="B14" s="689"/>
      <c r="C14" s="689"/>
      <c r="D14" s="690"/>
    </row>
    <row r="15" spans="1:6" ht="22.9" customHeight="1" x14ac:dyDescent="0.2">
      <c r="A15" s="440" t="s">
        <v>722</v>
      </c>
      <c r="B15" s="78">
        <f>SUM(B6:B14)</f>
        <v>0</v>
      </c>
      <c r="C15" s="78">
        <f>SUM(C6:C14)</f>
        <v>0</v>
      </c>
      <c r="D15" s="264">
        <f>SUM(D6:D14)</f>
        <v>0</v>
      </c>
    </row>
    <row r="16" spans="1:6" ht="19.149999999999999" customHeight="1" x14ac:dyDescent="0.2">
      <c r="A16" s="688" t="s">
        <v>723</v>
      </c>
      <c r="B16" s="689">
        <v>0</v>
      </c>
      <c r="C16" s="689">
        <v>100930.488</v>
      </c>
      <c r="D16" s="690">
        <v>100930.488</v>
      </c>
    </row>
    <row r="17" spans="1:4" ht="19.149999999999999" customHeight="1" x14ac:dyDescent="0.2">
      <c r="A17" s="688" t="s">
        <v>1501</v>
      </c>
      <c r="B17" s="689"/>
      <c r="C17" s="689"/>
      <c r="D17" s="690"/>
    </row>
    <row r="18" spans="1:4" ht="19.149999999999999" customHeight="1" x14ac:dyDescent="0.2">
      <c r="A18" s="688" t="s">
        <v>1502</v>
      </c>
      <c r="B18" s="689"/>
      <c r="C18" s="689"/>
      <c r="D18" s="690"/>
    </row>
    <row r="19" spans="1:4" ht="19.149999999999999" customHeight="1" x14ac:dyDescent="0.2">
      <c r="A19" s="688" t="s">
        <v>1503</v>
      </c>
      <c r="B19" s="689"/>
      <c r="C19" s="689"/>
      <c r="D19" s="690"/>
    </row>
    <row r="20" spans="1:4" ht="19.149999999999999" customHeight="1" x14ac:dyDescent="0.2">
      <c r="A20" s="688" t="s">
        <v>724</v>
      </c>
      <c r="B20" s="689"/>
      <c r="C20" s="689"/>
      <c r="D20" s="690"/>
    </row>
    <row r="21" spans="1:4" ht="19.149999999999999" customHeight="1" x14ac:dyDescent="0.2">
      <c r="A21" s="688" t="s">
        <v>725</v>
      </c>
      <c r="B21" s="689"/>
      <c r="C21" s="689"/>
      <c r="D21" s="690"/>
    </row>
    <row r="22" spans="1:4" ht="19.149999999999999" customHeight="1" x14ac:dyDescent="0.2">
      <c r="A22" s="688" t="s">
        <v>726</v>
      </c>
      <c r="B22" s="689"/>
      <c r="C22" s="689"/>
      <c r="D22" s="690"/>
    </row>
    <row r="23" spans="1:4" ht="19.149999999999999" customHeight="1" x14ac:dyDescent="0.2">
      <c r="A23" s="688" t="s">
        <v>727</v>
      </c>
      <c r="B23" s="689"/>
      <c r="C23" s="689"/>
      <c r="D23" s="690"/>
    </row>
    <row r="24" spans="1:4" ht="19.149999999999999" customHeight="1" x14ac:dyDescent="0.2">
      <c r="A24" s="688" t="s">
        <v>728</v>
      </c>
      <c r="B24" s="689"/>
      <c r="C24" s="689"/>
      <c r="D24" s="690"/>
    </row>
    <row r="25" spans="1:4" ht="22.9" customHeight="1" x14ac:dyDescent="0.2">
      <c r="A25" s="440" t="s">
        <v>729</v>
      </c>
      <c r="B25" s="78">
        <f>SUM(B16:B24)</f>
        <v>0</v>
      </c>
      <c r="C25" s="78">
        <f>SUM(C16:C24)</f>
        <v>100930.488</v>
      </c>
      <c r="D25" s="264">
        <f>SUM(D16:D24)</f>
        <v>100930.488</v>
      </c>
    </row>
    <row r="26" spans="1:4" ht="26.65" customHeight="1" x14ac:dyDescent="0.2">
      <c r="A26" s="440" t="s">
        <v>730</v>
      </c>
      <c r="B26" s="78">
        <f>+B25+B15</f>
        <v>0</v>
      </c>
      <c r="C26" s="78">
        <f>+C25+C15</f>
        <v>100930.488</v>
      </c>
      <c r="D26" s="264">
        <f>+D25+D15</f>
        <v>100930.488</v>
      </c>
    </row>
  </sheetData>
  <mergeCells count="1">
    <mergeCell ref="B4:D4"/>
  </mergeCells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F18" sqref="F18"/>
    </sheetView>
  </sheetViews>
  <sheetFormatPr defaultColWidth="16.7109375" defaultRowHeight="12.75" customHeight="1" x14ac:dyDescent="0.2"/>
  <cols>
    <col min="1" max="1" width="79.140625" style="220" customWidth="1"/>
    <col min="2" max="4" width="36.7109375" style="220" customWidth="1"/>
    <col min="5" max="5" width="9.28515625" style="220" customWidth="1"/>
    <col min="6" max="6" width="76.28515625" style="220" bestFit="1" customWidth="1"/>
    <col min="7" max="16384" width="16.7109375" style="439"/>
  </cols>
  <sheetData>
    <row r="1" spans="1:6" ht="19.899999999999999" customHeight="1" x14ac:dyDescent="0.25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89" t="s">
        <v>154</v>
      </c>
    </row>
    <row r="2" spans="1:6" ht="19.899999999999999" customHeight="1" thickBot="1" x14ac:dyDescent="0.3">
      <c r="A2" s="55" t="s">
        <v>709</v>
      </c>
      <c r="B2" s="55"/>
      <c r="C2" s="55"/>
      <c r="D2" s="54" t="str">
        <f>'Input-FX Rates'!$H$2</f>
        <v>7521 &amp; 7522 PL Mechatronic Sensors (&amp; Electrification)</v>
      </c>
      <c r="F2" s="95" t="s">
        <v>156</v>
      </c>
    </row>
    <row r="4" spans="1:6" ht="24" customHeight="1" x14ac:dyDescent="0.2">
      <c r="A4" s="187" t="str">
        <f>"in '000 "&amp;"EUR"</f>
        <v>in '000 EUR</v>
      </c>
      <c r="B4" s="1029" t="s">
        <v>153</v>
      </c>
      <c r="C4" s="1027"/>
      <c r="D4" s="1030"/>
      <c r="F4" s="266" t="s">
        <v>710</v>
      </c>
    </row>
    <row r="5" spans="1:6" ht="24" customHeight="1" x14ac:dyDescent="0.2">
      <c r="A5" s="187"/>
      <c r="B5" s="645" t="s">
        <v>195</v>
      </c>
      <c r="C5" s="186" t="s">
        <v>207</v>
      </c>
      <c r="D5" s="187" t="s">
        <v>711</v>
      </c>
    </row>
    <row r="6" spans="1:6" ht="19.149999999999999" customHeight="1" x14ac:dyDescent="0.2">
      <c r="A6" s="737" t="str">
        <f>'11. R&amp;O (LC) '!A6</f>
        <v>Additional MOU Overstock Risk ( Value not yet defined)</v>
      </c>
      <c r="B6" s="738">
        <f>IFERROR('11. R&amp;O (LC) '!B6/'Input-FX Rates'!$H$16,0)</f>
        <v>0</v>
      </c>
      <c r="C6" s="739">
        <f>IFERROR('11. R&amp;O (LC) '!C6/'Input-FX Rates'!$H$16,0)</f>
        <v>0</v>
      </c>
      <c r="D6" s="740">
        <f>IFERROR('11. R&amp;O (LC) '!D6/'Input-FX Rates'!$H$16,0)</f>
        <v>0</v>
      </c>
      <c r="F6" s="266" t="s">
        <v>713</v>
      </c>
    </row>
    <row r="7" spans="1:6" ht="19.149999999999999" customHeight="1" x14ac:dyDescent="0.2">
      <c r="A7" s="737" t="str">
        <f>'11. R&amp;O (LC) '!A7</f>
        <v>Risk 2</v>
      </c>
      <c r="B7" s="738">
        <f>IFERROR('11. R&amp;O (LC) '!B7/'Input-FX Rates'!$H$16,0)</f>
        <v>0</v>
      </c>
      <c r="C7" s="739">
        <f>IFERROR('11. R&amp;O (LC) '!C7/'Input-FX Rates'!$H$16,0)</f>
        <v>0</v>
      </c>
      <c r="D7" s="740">
        <f>IFERROR('11. R&amp;O (LC) '!D7/'Input-FX Rates'!$H$16,0)</f>
        <v>0</v>
      </c>
    </row>
    <row r="8" spans="1:6" ht="19.149999999999999" customHeight="1" x14ac:dyDescent="0.2">
      <c r="A8" s="737" t="str">
        <f>'11. R&amp;O (LC) '!A8</f>
        <v>Risk 3</v>
      </c>
      <c r="B8" s="738">
        <f>IFERROR('11. R&amp;O (LC) '!B8/'Input-FX Rates'!$H$16,0)</f>
        <v>0</v>
      </c>
      <c r="C8" s="739">
        <f>IFERROR('11. R&amp;O (LC) '!C8/'Input-FX Rates'!$H$16,0)</f>
        <v>0</v>
      </c>
      <c r="D8" s="740">
        <f>IFERROR('11. R&amp;O (LC) '!D8/'Input-FX Rates'!$H$16,0)</f>
        <v>0</v>
      </c>
    </row>
    <row r="9" spans="1:6" ht="19.149999999999999" customHeight="1" x14ac:dyDescent="0.2">
      <c r="A9" s="737" t="str">
        <f>'11. R&amp;O (LC) '!A9</f>
        <v>Risk 4</v>
      </c>
      <c r="B9" s="738">
        <f>IFERROR('11. R&amp;O (LC) '!B9/'Input-FX Rates'!$H$16,0)</f>
        <v>0</v>
      </c>
      <c r="C9" s="739">
        <f>IFERROR('11. R&amp;O (LC) '!C9/'Input-FX Rates'!$H$16,0)</f>
        <v>0</v>
      </c>
      <c r="D9" s="740">
        <f>IFERROR('11. R&amp;O (LC) '!D9/'Input-FX Rates'!$H$16,0)</f>
        <v>0</v>
      </c>
    </row>
    <row r="10" spans="1:6" ht="19.149999999999999" customHeight="1" x14ac:dyDescent="0.2">
      <c r="A10" s="737" t="str">
        <f>'11. R&amp;O (LC) '!A10</f>
        <v>Risk 5</v>
      </c>
      <c r="B10" s="738">
        <f>IFERROR('11. R&amp;O (LC) '!B10/'Input-FX Rates'!$H$16,0)</f>
        <v>0</v>
      </c>
      <c r="C10" s="739">
        <f>IFERROR('11. R&amp;O (LC) '!C10/'Input-FX Rates'!$H$16,0)</f>
        <v>0</v>
      </c>
      <c r="D10" s="740">
        <f>IFERROR('11. R&amp;O (LC) '!D10/'Input-FX Rates'!$H$16,0)</f>
        <v>0</v>
      </c>
    </row>
    <row r="11" spans="1:6" ht="19.149999999999999" customHeight="1" x14ac:dyDescent="0.2">
      <c r="A11" s="737" t="str">
        <f>'11. R&amp;O (LC) '!A11</f>
        <v>Risk 6</v>
      </c>
      <c r="B11" s="738">
        <f>IFERROR('11. R&amp;O (LC) '!B11/'Input-FX Rates'!$H$16,0)</f>
        <v>0</v>
      </c>
      <c r="C11" s="739">
        <f>IFERROR('11. R&amp;O (LC) '!C11/'Input-FX Rates'!$H$16,0)</f>
        <v>0</v>
      </c>
      <c r="D11" s="740">
        <f>IFERROR('11. R&amp;O (LC) '!D11/'Input-FX Rates'!$H$16,0)</f>
        <v>0</v>
      </c>
    </row>
    <row r="12" spans="1:6" ht="19.149999999999999" customHeight="1" x14ac:dyDescent="0.2">
      <c r="A12" s="737" t="str">
        <f>'11. R&amp;O (LC) '!A12</f>
        <v>Risk 7</v>
      </c>
      <c r="B12" s="738">
        <f>IFERROR('11. R&amp;O (LC) '!B12/'Input-FX Rates'!$H$16,0)</f>
        <v>0</v>
      </c>
      <c r="C12" s="739">
        <f>IFERROR('11. R&amp;O (LC) '!C12/'Input-FX Rates'!$H$16,0)</f>
        <v>0</v>
      </c>
      <c r="D12" s="740">
        <f>IFERROR('11. R&amp;O (LC) '!D12/'Input-FX Rates'!$H$16,0)</f>
        <v>0</v>
      </c>
    </row>
    <row r="13" spans="1:6" ht="19.149999999999999" customHeight="1" x14ac:dyDescent="0.2">
      <c r="A13" s="737" t="str">
        <f>'11. R&amp;O (LC) '!A13</f>
        <v>Risk 8</v>
      </c>
      <c r="B13" s="738">
        <f>IFERROR('11. R&amp;O (LC) '!B13/'Input-FX Rates'!$H$16,0)</f>
        <v>0</v>
      </c>
      <c r="C13" s="739">
        <f>IFERROR('11. R&amp;O (LC) '!C13/'Input-FX Rates'!$H$16,0)</f>
        <v>0</v>
      </c>
      <c r="D13" s="740">
        <f>IFERROR('11. R&amp;O (LC) '!D13/'Input-FX Rates'!$H$16,0)</f>
        <v>0</v>
      </c>
    </row>
    <row r="14" spans="1:6" ht="19.149999999999999" customHeight="1" x14ac:dyDescent="0.2">
      <c r="A14" s="737" t="str">
        <f>'11. R&amp;O (LC) '!A14</f>
        <v>Risk 9</v>
      </c>
      <c r="B14" s="738">
        <f>IFERROR('11. R&amp;O (LC) '!B14/'Input-FX Rates'!$H$16,0)</f>
        <v>0</v>
      </c>
      <c r="C14" s="739">
        <f>IFERROR('11. R&amp;O (LC) '!C14/'Input-FX Rates'!$H$16,0)</f>
        <v>0</v>
      </c>
      <c r="D14" s="740">
        <f>IFERROR('11. R&amp;O (LC) '!D14/'Input-FX Rates'!$H$16,0)</f>
        <v>0</v>
      </c>
    </row>
    <row r="15" spans="1:6" ht="22.9" customHeight="1" x14ac:dyDescent="0.2">
      <c r="A15" s="214" t="str">
        <f>'11. R&amp;O (LC) '!A15</f>
        <v>Total Risks</v>
      </c>
      <c r="B15" s="265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 x14ac:dyDescent="0.2">
      <c r="A16" s="737" t="str">
        <f>'11. R&amp;O (LC) '!A16</f>
        <v>Subcontractor price negotiation</v>
      </c>
      <c r="B16" s="738">
        <f>IFERROR('11. R&amp;O (LC) '!B16/'Input-FX Rates'!$H$16,0)</f>
        <v>0</v>
      </c>
      <c r="C16" s="739">
        <f>IFERROR('11. R&amp;O (LC) '!C16/'Input-FX Rates'!$H$16,0)</f>
        <v>69.60723310344828</v>
      </c>
      <c r="D16" s="740">
        <f>IFERROR('11. R&amp;O (LC) '!D16/'Input-FX Rates'!$H$16,0)</f>
        <v>69.60723310344828</v>
      </c>
    </row>
    <row r="17" spans="1:4" ht="19.149999999999999" customHeight="1" x14ac:dyDescent="0.2">
      <c r="A17" s="737" t="str">
        <f>'11. R&amp;O (LC) '!A17</f>
        <v>Opportunity 2</v>
      </c>
      <c r="B17" s="738">
        <f>IFERROR('11. R&amp;O (LC) '!B17/'Input-FX Rates'!$H$16,0)</f>
        <v>0</v>
      </c>
      <c r="C17" s="739">
        <f>IFERROR('11. R&amp;O (LC) '!C17/'Input-FX Rates'!$H$16,0)</f>
        <v>0</v>
      </c>
      <c r="D17" s="740">
        <f>IFERROR('11. R&amp;O (LC) '!D17/'Input-FX Rates'!$H$16,0)</f>
        <v>0</v>
      </c>
    </row>
    <row r="18" spans="1:4" ht="19.149999999999999" customHeight="1" x14ac:dyDescent="0.2">
      <c r="A18" s="737" t="str">
        <f>'11. R&amp;O (LC) '!A18</f>
        <v>Opportunity 3</v>
      </c>
      <c r="B18" s="738">
        <f>IFERROR('11. R&amp;O (LC) '!B18/'Input-FX Rates'!$H$16,0)</f>
        <v>0</v>
      </c>
      <c r="C18" s="739">
        <f>IFERROR('11. R&amp;O (LC) '!C18/'Input-FX Rates'!$H$16,0)</f>
        <v>0</v>
      </c>
      <c r="D18" s="740">
        <f>IFERROR('11. R&amp;O (LC) '!D18/'Input-FX Rates'!$H$16,0)</f>
        <v>0</v>
      </c>
    </row>
    <row r="19" spans="1:4" ht="19.149999999999999" customHeight="1" x14ac:dyDescent="0.2">
      <c r="A19" s="737" t="str">
        <f>'11. R&amp;O (LC) '!A19</f>
        <v>Opportunity 4</v>
      </c>
      <c r="B19" s="738">
        <f>IFERROR('11. R&amp;O (LC) '!B19/'Input-FX Rates'!$H$16,0)</f>
        <v>0</v>
      </c>
      <c r="C19" s="739">
        <f>IFERROR('11. R&amp;O (LC) '!C19/'Input-FX Rates'!$H$16,0)</f>
        <v>0</v>
      </c>
      <c r="D19" s="740">
        <f>IFERROR('11. R&amp;O (LC) '!D19/'Input-FX Rates'!$H$16,0)</f>
        <v>0</v>
      </c>
    </row>
    <row r="20" spans="1:4" ht="19.149999999999999" customHeight="1" x14ac:dyDescent="0.2">
      <c r="A20" s="737" t="str">
        <f>'11. R&amp;O (LC) '!A20</f>
        <v>Opportunity 5</v>
      </c>
      <c r="B20" s="738">
        <f>IFERROR('11. R&amp;O (LC) '!B20/'Input-FX Rates'!$H$16,0)</f>
        <v>0</v>
      </c>
      <c r="C20" s="739">
        <f>IFERROR('11. R&amp;O (LC) '!C20/'Input-FX Rates'!$H$16,0)</f>
        <v>0</v>
      </c>
      <c r="D20" s="740">
        <f>IFERROR('11. R&amp;O (LC) '!D20/'Input-FX Rates'!$H$16,0)</f>
        <v>0</v>
      </c>
    </row>
    <row r="21" spans="1:4" ht="19.149999999999999" customHeight="1" x14ac:dyDescent="0.2">
      <c r="A21" s="737" t="str">
        <f>'11. R&amp;O (LC) '!A21</f>
        <v>Opportunity 6</v>
      </c>
      <c r="B21" s="738">
        <f>IFERROR('11. R&amp;O (LC) '!B21/'Input-FX Rates'!$H$16,0)</f>
        <v>0</v>
      </c>
      <c r="C21" s="739">
        <f>IFERROR('11. R&amp;O (LC) '!C21/'Input-FX Rates'!$H$16,0)</f>
        <v>0</v>
      </c>
      <c r="D21" s="740">
        <f>IFERROR('11. R&amp;O (LC) '!D21/'Input-FX Rates'!$H$16,0)</f>
        <v>0</v>
      </c>
    </row>
    <row r="22" spans="1:4" ht="19.149999999999999" customHeight="1" x14ac:dyDescent="0.2">
      <c r="A22" s="737" t="str">
        <f>'11. R&amp;O (LC) '!A22</f>
        <v>Opportunity 7</v>
      </c>
      <c r="B22" s="738">
        <f>IFERROR('11. R&amp;O (LC) '!B22/'Input-FX Rates'!$H$16,0)</f>
        <v>0</v>
      </c>
      <c r="C22" s="739">
        <f>IFERROR('11. R&amp;O (LC) '!C22/'Input-FX Rates'!$H$16,0)</f>
        <v>0</v>
      </c>
      <c r="D22" s="740">
        <f>IFERROR('11. R&amp;O (LC) '!D22/'Input-FX Rates'!$H$16,0)</f>
        <v>0</v>
      </c>
    </row>
    <row r="23" spans="1:4" ht="19.149999999999999" customHeight="1" x14ac:dyDescent="0.2">
      <c r="A23" s="737" t="str">
        <f>'11. R&amp;O (LC) '!A23</f>
        <v>Opportunity 8</v>
      </c>
      <c r="B23" s="738">
        <f>IFERROR('11. R&amp;O (LC) '!B23/'Input-FX Rates'!$H$16,0)</f>
        <v>0</v>
      </c>
      <c r="C23" s="739">
        <f>IFERROR('11. R&amp;O (LC) '!C23/'Input-FX Rates'!$H$16,0)</f>
        <v>0</v>
      </c>
      <c r="D23" s="740">
        <f>IFERROR('11. R&amp;O (LC) '!D23/'Input-FX Rates'!$H$16,0)</f>
        <v>0</v>
      </c>
    </row>
    <row r="24" spans="1:4" ht="19.149999999999999" customHeight="1" x14ac:dyDescent="0.2">
      <c r="A24" s="737" t="str">
        <f>'11. R&amp;O (LC) '!A24</f>
        <v>Opportunity 9</v>
      </c>
      <c r="B24" s="738">
        <f>IFERROR('11. R&amp;O (LC) '!B24/'Input-FX Rates'!$H$16,0)</f>
        <v>0</v>
      </c>
      <c r="C24" s="739">
        <f>IFERROR('11. R&amp;O (LC) '!C24/'Input-FX Rates'!$H$16,0)</f>
        <v>0</v>
      </c>
      <c r="D24" s="740">
        <f>IFERROR('11. R&amp;O (LC) '!D24/'Input-FX Rates'!$H$16,0)</f>
        <v>0</v>
      </c>
    </row>
    <row r="25" spans="1:4" ht="22.9" customHeight="1" x14ac:dyDescent="0.2">
      <c r="A25" s="214" t="str">
        <f>'11. R&amp;O (LC) '!A25</f>
        <v>Total Opportunities</v>
      </c>
      <c r="B25" s="265">
        <f>SUM(B16:B24)</f>
        <v>0</v>
      </c>
      <c r="C25" s="78">
        <f>SUM(C16:C24)</f>
        <v>69.60723310344828</v>
      </c>
      <c r="D25" s="80">
        <f>SUM(D16:D24)</f>
        <v>69.60723310344828</v>
      </c>
    </row>
    <row r="26" spans="1:4" ht="26.65" customHeight="1" x14ac:dyDescent="0.2">
      <c r="A26" s="214" t="str">
        <f>'11. R&amp;O (LC) '!A26</f>
        <v>Total Risks &amp; Opportunities</v>
      </c>
      <c r="B26" s="265">
        <f>+B25+B15</f>
        <v>0</v>
      </c>
      <c r="C26" s="78">
        <f>+C25+C15</f>
        <v>69.60723310344828</v>
      </c>
      <c r="D26" s="80">
        <f>+D25+D15</f>
        <v>69.60723310344828</v>
      </c>
    </row>
  </sheetData>
  <mergeCells count="1">
    <mergeCell ref="B4:D4"/>
  </mergeCells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41" activePane="bottomRight" state="frozen"/>
      <selection pane="topRight" activeCell="D14" sqref="D14"/>
      <selection pane="bottomLeft" activeCell="D14" sqref="D14"/>
      <selection pane="bottomRight" activeCell="K38" sqref="K38"/>
    </sheetView>
  </sheetViews>
  <sheetFormatPr defaultColWidth="9.28515625" defaultRowHeight="12.75" customHeight="1" outlineLevelCol="1" x14ac:dyDescent="0.2"/>
  <cols>
    <col min="1" max="1" width="16.7109375" style="439" customWidth="1" outlineLevel="1"/>
    <col min="2" max="2" width="56.42578125" style="439" customWidth="1" outlineLevel="1"/>
    <col min="3" max="3" width="60.5703125" style="439" bestFit="1" customWidth="1"/>
    <col min="4" max="4" width="16.140625" style="439" bestFit="1" customWidth="1"/>
    <col min="5" max="9" width="20" style="439" customWidth="1"/>
    <col min="10" max="10" width="9.28515625" style="439" customWidth="1"/>
    <col min="11" max="11" width="24.42578125" style="439" bestFit="1" customWidth="1"/>
    <col min="12" max="16384" width="9.28515625" style="439"/>
  </cols>
  <sheetData>
    <row r="1" spans="1:14" ht="19.899999999999999" customHeight="1" x14ac:dyDescent="0.25">
      <c r="C1" s="60" t="str">
        <f>+'0. Instructions'!A1</f>
        <v>Budget 2024</v>
      </c>
      <c r="F1" s="411"/>
      <c r="G1" s="411"/>
      <c r="H1" s="411"/>
      <c r="I1" s="411"/>
      <c r="K1" s="1037"/>
      <c r="L1" s="1038"/>
      <c r="N1" s="665" t="s">
        <v>731</v>
      </c>
    </row>
    <row r="2" spans="1:14" ht="19.899999999999999" customHeight="1" thickBot="1" x14ac:dyDescent="0.3">
      <c r="C2" s="55" t="s">
        <v>732</v>
      </c>
      <c r="D2" s="55"/>
      <c r="E2" s="55"/>
      <c r="F2" s="55"/>
      <c r="G2" s="55"/>
      <c r="H2" s="55"/>
      <c r="I2" s="55"/>
      <c r="K2" s="1037"/>
      <c r="L2" s="1038"/>
      <c r="N2" s="665" t="s">
        <v>733</v>
      </c>
    </row>
    <row r="3" spans="1:14" ht="39.6" customHeight="1" x14ac:dyDescent="0.25">
      <c r="A3" s="534"/>
      <c r="B3" s="534"/>
      <c r="C3" s="532"/>
      <c r="D3" s="532"/>
      <c r="E3" s="532"/>
      <c r="F3" s="532"/>
      <c r="G3" s="532"/>
      <c r="H3" s="532"/>
      <c r="I3" s="532"/>
      <c r="J3" s="532"/>
      <c r="K3" s="532"/>
    </row>
    <row r="4" spans="1:14" ht="15" x14ac:dyDescent="0.25">
      <c r="A4" s="534"/>
      <c r="B4" s="534"/>
      <c r="C4" s="532"/>
      <c r="D4" s="532"/>
      <c r="E4" s="532"/>
      <c r="F4" s="532"/>
      <c r="G4" s="532"/>
      <c r="H4" s="532"/>
      <c r="I4" s="532"/>
      <c r="J4" s="532"/>
      <c r="K4" s="532"/>
    </row>
    <row r="5" spans="1:14" ht="15" x14ac:dyDescent="0.25">
      <c r="A5" s="534"/>
      <c r="B5" s="534"/>
      <c r="C5" s="532"/>
      <c r="D5" s="608"/>
      <c r="E5" s="608"/>
      <c r="F5" s="608"/>
      <c r="G5" s="608"/>
      <c r="H5" s="608"/>
      <c r="I5" s="608"/>
      <c r="J5" s="533"/>
      <c r="K5" s="532"/>
    </row>
    <row r="6" spans="1:14" ht="30" x14ac:dyDescent="0.25">
      <c r="A6" s="534"/>
      <c r="B6" s="534"/>
      <c r="C6" s="562"/>
      <c r="D6" s="609" t="s">
        <v>734</v>
      </c>
      <c r="E6" s="609" t="s">
        <v>735</v>
      </c>
      <c r="F6" s="609" t="s">
        <v>736</v>
      </c>
      <c r="G6" s="609" t="s">
        <v>737</v>
      </c>
      <c r="H6" s="609" t="s">
        <v>738</v>
      </c>
      <c r="I6" s="609" t="s">
        <v>739</v>
      </c>
      <c r="J6" s="542"/>
      <c r="K6" s="532"/>
    </row>
    <row r="7" spans="1:14" ht="28.9" customHeight="1" x14ac:dyDescent="0.25">
      <c r="A7" s="534"/>
      <c r="B7" s="534"/>
      <c r="C7" s="559" t="s">
        <v>740</v>
      </c>
      <c r="D7" s="559" t="str">
        <f>KeyData!D7</f>
        <v>Year-2</v>
      </c>
      <c r="E7" s="559" t="str">
        <f>KeyData!E7</f>
        <v>Plan-1</v>
      </c>
      <c r="F7" s="559" t="s">
        <v>741</v>
      </c>
      <c r="G7" s="559" t="s">
        <v>742</v>
      </c>
      <c r="H7" s="559" t="str">
        <f>KeyData!G7</f>
        <v>FC PY</v>
      </c>
      <c r="I7" s="559" t="str">
        <f>KeyData!H7</f>
        <v>Plan</v>
      </c>
      <c r="J7" s="542"/>
      <c r="K7" s="532"/>
    </row>
    <row r="8" spans="1:14" ht="15" x14ac:dyDescent="0.25">
      <c r="A8" s="534" t="s">
        <v>743</v>
      </c>
      <c r="B8" s="534" t="str">
        <f>IFERROR(VLOOKUP(A8,Race_2024!A:C,3,FALSE), VLOOKUP(A8,Race_2024!A:C,3,FALSE))</f>
        <v>Sales</v>
      </c>
      <c r="C8" s="558" t="s">
        <v>195</v>
      </c>
      <c r="D8" s="557">
        <f>IFERROR(VLOOKUP($A8,Race_2024!A:L, 7,FALSE),0)</f>
        <v>8731433.4010000005</v>
      </c>
      <c r="E8" s="557">
        <f>IFERROR(VLOOKUP($A8,Race_2024!A:L, 9,FALSE),0)</f>
        <v>16410304.291999999</v>
      </c>
      <c r="F8" s="557">
        <f>IFERROR(VLOOKUP($A8,Race_2024!A:L, 8,FALSE),0)</f>
        <v>10156179.187999999</v>
      </c>
      <c r="G8" s="557">
        <f>IFERROR(VLOOKUP($A8,Race_2024!A:L, 10,FALSE),0)</f>
        <v>20081463.52</v>
      </c>
      <c r="H8" s="557">
        <f>IFERROR(VLOOKUP($A8,Race_2024!A:L, 11,FALSE),0)</f>
        <v>21211769.708999999</v>
      </c>
      <c r="I8" s="557">
        <f>IFERROR(VLOOKUP($A8,Race_2024!A:L, 12,FALSE),0)</f>
        <v>20571529.809999999</v>
      </c>
      <c r="J8" s="542"/>
      <c r="K8" s="532"/>
    </row>
    <row r="9" spans="1:14" ht="15" x14ac:dyDescent="0.25">
      <c r="A9" s="534" t="s">
        <v>744</v>
      </c>
      <c r="B9" s="534" t="str">
        <f>IFERROR(VLOOKUP(A9,Race_2024!A:C,3,FALSE), VLOOKUP(A9,Race_2024!A:C,3,FALSE))</f>
        <v>Net sales</v>
      </c>
      <c r="C9" s="554" t="s">
        <v>745</v>
      </c>
      <c r="D9" s="539">
        <f>IFERROR(VLOOKUP($A9,Race_2024!A:L, 7,FALSE),0)</f>
        <v>8455643.8120000008</v>
      </c>
      <c r="E9" s="539">
        <f>IFERROR(VLOOKUP($A9,Race_2024!A:L, 9,FALSE),0)</f>
        <v>16410304.291999999</v>
      </c>
      <c r="F9" s="539">
        <f>IFERROR(VLOOKUP($A9,Race_2024!A:L, 8,FALSE),0)</f>
        <v>10156179.187999999</v>
      </c>
      <c r="G9" s="539">
        <f>IFERROR(VLOOKUP($A9,Race_2024!A:L, 10,FALSE),0)</f>
        <v>20081463.52</v>
      </c>
      <c r="H9" s="539">
        <f>IFERROR(VLOOKUP($A9,Race_2024!A:L, 11,FALSE),0)</f>
        <v>21211769.708999999</v>
      </c>
      <c r="I9" s="538">
        <f>IFERROR(VLOOKUP($A9,Race_2024!A:L, 12,FALSE),0)</f>
        <v>20571529.809999999</v>
      </c>
      <c r="J9" s="542"/>
      <c r="K9" s="532"/>
    </row>
    <row r="10" spans="1:14" ht="15" x14ac:dyDescent="0.25">
      <c r="A10" s="534" t="s">
        <v>746</v>
      </c>
      <c r="B10" s="534" t="e">
        <f>IFERROR(VLOOKUP(A10,Race_2024!A:C,3,FALSE), VLOOKUP(A10,Race_2024!A:C,3,FALSE))</f>
        <v>#N/A</v>
      </c>
      <c r="C10" s="541" t="s">
        <v>747</v>
      </c>
      <c r="D10" s="536">
        <f>IFERROR(VLOOKUP($A10,Race_2024!A:L, 7,FALSE),0)</f>
        <v>0</v>
      </c>
      <c r="E10" s="536">
        <f>IFERROR(VLOOKUP($A10,Race_2024!A:L, 9,FALSE),0)</f>
        <v>0</v>
      </c>
      <c r="F10" s="536">
        <f>IFERROR(VLOOKUP($A10,Race_2024!A:L, 8,FALSE),0)</f>
        <v>0</v>
      </c>
      <c r="G10" s="536">
        <f>IFERROR(VLOOKUP($A10,Race_2024!A:L, 10,FALSE),0)</f>
        <v>0</v>
      </c>
      <c r="H10" s="536">
        <f>IFERROR(VLOOKUP($A10,Race_2024!A:L, 11,FALSE),0)</f>
        <v>0</v>
      </c>
      <c r="I10" s="535">
        <f>IFERROR(VLOOKUP($A10,Race_2024!A:L, 12,FALSE),0)</f>
        <v>0</v>
      </c>
      <c r="J10" s="542"/>
      <c r="K10" s="532"/>
    </row>
    <row r="11" spans="1:14" ht="15" x14ac:dyDescent="0.25">
      <c r="A11" s="534" t="s">
        <v>748</v>
      </c>
      <c r="B11" s="534" t="e">
        <f>IFERROR(VLOOKUP(A11,Race_2024!A:C,3,FALSE), VLOOKUP(A11,Race_2024!A:C,3,FALSE))</f>
        <v>#N/A</v>
      </c>
      <c r="C11" s="541" t="s">
        <v>749</v>
      </c>
      <c r="D11" s="536">
        <f>IFERROR(VLOOKUP($A11,Race_2024!A:L, 7,FALSE),0)</f>
        <v>0</v>
      </c>
      <c r="E11" s="536">
        <f>IFERROR(VLOOKUP($A11,Race_2024!A:L, 9,FALSE),0)</f>
        <v>0</v>
      </c>
      <c r="F11" s="536">
        <f>IFERROR(VLOOKUP($A11,Race_2024!A:L, 8,FALSE),0)</f>
        <v>0</v>
      </c>
      <c r="G11" s="536">
        <f>IFERROR(VLOOKUP($A11,Race_2024!A:L, 10,FALSE),0)</f>
        <v>0</v>
      </c>
      <c r="H11" s="536">
        <f>IFERROR(VLOOKUP($A11,Race_2024!A:L, 11,FALSE),0)</f>
        <v>0</v>
      </c>
      <c r="I11" s="535">
        <f>IFERROR(VLOOKUP($A11,Race_2024!A:L, 12,FALSE),0)</f>
        <v>0</v>
      </c>
      <c r="J11" s="542"/>
      <c r="K11" s="532"/>
    </row>
    <row r="12" spans="1:14" ht="15" x14ac:dyDescent="0.25">
      <c r="A12" s="534" t="s">
        <v>750</v>
      </c>
      <c r="B12" s="534" t="str">
        <f>IFERROR(VLOOKUP(A12,Race_2024!A:C,3,FALSE), VLOOKUP(A12,Race_2024!A:C,3,FALSE))</f>
        <v>Net sales rel. par.</v>
      </c>
      <c r="C12" s="541" t="s">
        <v>751</v>
      </c>
      <c r="D12" s="536">
        <f>IFERROR(VLOOKUP($A12,Race_2024!A:L, 7,FALSE),0)</f>
        <v>78705.42</v>
      </c>
      <c r="E12" s="536">
        <f>IFERROR(VLOOKUP($A12,Race_2024!A:L, 9,FALSE),0)</f>
        <v>0</v>
      </c>
      <c r="F12" s="536">
        <f>IFERROR(VLOOKUP($A12,Race_2024!A:L, 8,FALSE),0)</f>
        <v>33174</v>
      </c>
      <c r="G12" s="536">
        <f>IFERROR(VLOOKUP($A12,Race_2024!A:L, 10,FALSE),0)</f>
        <v>24444</v>
      </c>
      <c r="H12" s="536">
        <f>IFERROR(VLOOKUP($A12,Race_2024!A:L, 11,FALSE),0)</f>
        <v>51676.5</v>
      </c>
      <c r="I12" s="535">
        <f>IFERROR(VLOOKUP($A12,Race_2024!A:L, 12,FALSE),0)</f>
        <v>0</v>
      </c>
      <c r="J12" s="542"/>
      <c r="K12" s="532"/>
    </row>
    <row r="13" spans="1:14" ht="15" x14ac:dyDescent="0.25">
      <c r="A13" s="534" t="s">
        <v>752</v>
      </c>
      <c r="B13" s="534" t="str">
        <f>IFERROR(VLOOKUP(A13,Race_2024!A:C,3,FALSE), VLOOKUP(A13,Race_2024!A:C,3,FALSE))</f>
        <v>Net sales external</v>
      </c>
      <c r="C13" s="541" t="s">
        <v>753</v>
      </c>
      <c r="D13" s="536">
        <f>IFERROR(VLOOKUP($A13,Race_2024!A:L, 7,FALSE),0)</f>
        <v>8376938.392</v>
      </c>
      <c r="E13" s="536">
        <f>IFERROR(VLOOKUP($A13,Race_2024!A:L, 9,FALSE),0)</f>
        <v>16410304.291999999</v>
      </c>
      <c r="F13" s="536">
        <f>IFERROR(VLOOKUP($A13,Race_2024!A:L, 8,FALSE),0)</f>
        <v>10123005.187999999</v>
      </c>
      <c r="G13" s="536">
        <f>IFERROR(VLOOKUP($A13,Race_2024!A:L, 10,FALSE),0)</f>
        <v>20057019.52</v>
      </c>
      <c r="H13" s="536">
        <f>IFERROR(VLOOKUP($A13,Race_2024!A:L, 11,FALSE),0)</f>
        <v>21160093.208999999</v>
      </c>
      <c r="I13" s="535">
        <f>IFERROR(VLOOKUP($A13,Race_2024!A:L, 12,FALSE),0)</f>
        <v>20571529.809999999</v>
      </c>
      <c r="J13" s="542"/>
      <c r="K13" s="532"/>
    </row>
    <row r="14" spans="1:14" ht="15" x14ac:dyDescent="0.25">
      <c r="A14" s="534" t="s">
        <v>754</v>
      </c>
      <c r="B14" s="534" t="str">
        <f>IFERROR(VLOOKUP(A14,Race_2024!A:C,3,FALSE), VLOOKUP(A14,Race_2024!A:C,3,FALSE))</f>
        <v>Sales variations</v>
      </c>
      <c r="C14" s="554" t="s">
        <v>755</v>
      </c>
      <c r="D14" s="539">
        <f>IFERROR(VLOOKUP($A14,Race_2024!A:L, 7,FALSE),0)</f>
        <v>275789.58899999998</v>
      </c>
      <c r="E14" s="539">
        <f>IFERROR(VLOOKUP($A14,Race_2024!A:L, 9,FALSE),0)</f>
        <v>0</v>
      </c>
      <c r="F14" s="539">
        <f>IFERROR(VLOOKUP($A14,Race_2024!A:L, 8,FALSE),0)</f>
        <v>0</v>
      </c>
      <c r="G14" s="539">
        <f>IFERROR(VLOOKUP($A14,Race_2024!A:L, 10,FALSE),0)</f>
        <v>0</v>
      </c>
      <c r="H14" s="539">
        <f>IFERROR(VLOOKUP($A14,Race_2024!A:L, 11,FALSE),0)</f>
        <v>0</v>
      </c>
      <c r="I14" s="538">
        <f>IFERROR(VLOOKUP($A14,Race_2024!A:L, 12,FALSE),0)</f>
        <v>0</v>
      </c>
      <c r="J14" s="542"/>
      <c r="K14" s="532"/>
    </row>
    <row r="15" spans="1:14" ht="15" x14ac:dyDescent="0.25">
      <c r="A15" s="534" t="s">
        <v>756</v>
      </c>
      <c r="B15" s="534" t="e">
        <f>IFERROR(VLOOKUP(A15,Race_2024!A:C,3,FALSE), VLOOKUP(A15,Race_2024!A:C,3,FALSE))</f>
        <v>#N/A</v>
      </c>
      <c r="C15" s="541" t="s">
        <v>757</v>
      </c>
      <c r="D15" s="536">
        <f>IFERROR(VLOOKUP($A15,Race_2024!A:L, 7,FALSE),0)</f>
        <v>0</v>
      </c>
      <c r="E15" s="536">
        <f>IFERROR(VLOOKUP($A15,Race_2024!A:L, 9,FALSE),0)</f>
        <v>0</v>
      </c>
      <c r="F15" s="536">
        <f>IFERROR(VLOOKUP($A15,Race_2024!A:L, 8,FALSE),0)</f>
        <v>0</v>
      </c>
      <c r="G15" s="536">
        <f>IFERROR(VLOOKUP($A15,Race_2024!A:L, 10,FALSE),0)</f>
        <v>0</v>
      </c>
      <c r="H15" s="536">
        <f>IFERROR(VLOOKUP($A15,Race_2024!A:L, 11,FALSE),0)</f>
        <v>0</v>
      </c>
      <c r="I15" s="535">
        <f>IFERROR(VLOOKUP($A15,Race_2024!A:L, 12,FALSE),0)</f>
        <v>0</v>
      </c>
      <c r="J15" s="542"/>
      <c r="K15" s="532"/>
    </row>
    <row r="16" spans="1:14" ht="15" x14ac:dyDescent="0.25">
      <c r="A16" s="534" t="s">
        <v>758</v>
      </c>
      <c r="B16" s="534" t="str">
        <f>IFERROR(VLOOKUP(A16,Race_2024!A:C,3,FALSE), VLOOKUP(A16,Race_2024!A:C,3,FALSE))</f>
        <v>Equalization ICO</v>
      </c>
      <c r="C16" s="543" t="s">
        <v>759</v>
      </c>
      <c r="D16" s="536">
        <f>IFERROR(VLOOKUP($A16,Race_2024!A:L, 7,FALSE),0)</f>
        <v>275789.58899999998</v>
      </c>
      <c r="E16" s="536">
        <f>IFERROR(VLOOKUP($A16,Race_2024!A:L, 9,FALSE),0)</f>
        <v>0</v>
      </c>
      <c r="F16" s="536">
        <f>IFERROR(VLOOKUP($A16,Race_2024!A:L, 8,FALSE),0)</f>
        <v>0</v>
      </c>
      <c r="G16" s="536">
        <f>IFERROR(VLOOKUP($A16,Race_2024!A:L, 10,FALSE),0)</f>
        <v>0</v>
      </c>
      <c r="H16" s="536">
        <f>IFERROR(VLOOKUP($A16,Race_2024!A:L, 11,FALSE),0)</f>
        <v>0</v>
      </c>
      <c r="I16" s="535">
        <f>IFERROR(VLOOKUP($A16,Race_2024!A:L, 12,FALSE),0)</f>
        <v>0</v>
      </c>
      <c r="J16" s="542"/>
      <c r="K16" s="532"/>
    </row>
    <row r="17" spans="1:11" ht="15" x14ac:dyDescent="0.25">
      <c r="A17" s="534" t="s">
        <v>760</v>
      </c>
      <c r="B17" s="534" t="str">
        <f>IFERROR(VLOOKUP(A17,Race_2024!A:C,3,FALSE), VLOOKUP(A17,Race_2024!A:C,3,FALSE))</f>
        <v>Variable costs</v>
      </c>
      <c r="C17" s="540" t="s">
        <v>761</v>
      </c>
      <c r="D17" s="539">
        <f>IFERROR(VLOOKUP($A17,Race_2024!A:L, 7,FALSE),0)</f>
        <v>-6282972.9189999998</v>
      </c>
      <c r="E17" s="539">
        <f>IFERROR(VLOOKUP($A17,Race_2024!A:L, 9,FALSE),0)</f>
        <v>-13069865.987</v>
      </c>
      <c r="F17" s="539">
        <f>IFERROR(VLOOKUP($A17,Race_2024!A:L, 8,FALSE),0)</f>
        <v>-7987206.3030000003</v>
      </c>
      <c r="G17" s="539">
        <f>IFERROR(VLOOKUP($A17,Race_2024!A:L, 10,FALSE),0)</f>
        <v>-14044974.301000001</v>
      </c>
      <c r="H17" s="539">
        <f>IFERROR(VLOOKUP($A17,Race_2024!A:L, 11,FALSE),0)</f>
        <v>-15568258.146</v>
      </c>
      <c r="I17" s="538">
        <f>IFERROR(VLOOKUP($A17,Race_2024!A:L, 12,FALSE),0)</f>
        <v>-13550482.361</v>
      </c>
      <c r="J17" s="542"/>
      <c r="K17" s="532"/>
    </row>
    <row r="18" spans="1:11" ht="15" x14ac:dyDescent="0.25">
      <c r="A18" s="534" t="s">
        <v>762</v>
      </c>
      <c r="B18" s="534" t="str">
        <f>IFERROR(VLOOKUP(A18,Race_2024!A:C,3,FALSE), VLOOKUP(A18,Race_2024!A:C,3,FALSE))</f>
        <v>Var costs over stand</v>
      </c>
      <c r="C18" s="554" t="s">
        <v>763</v>
      </c>
      <c r="D18" s="539">
        <f>IFERROR(VLOOKUP($A18,Race_2024!A:L, 7,FALSE),0)</f>
        <v>-6067069.8130000001</v>
      </c>
      <c r="E18" s="539">
        <f>IFERROR(VLOOKUP($A18,Race_2024!A:L, 9,FALSE),0)</f>
        <v>-12643020.017999999</v>
      </c>
      <c r="F18" s="539">
        <f>IFERROR(VLOOKUP($A18,Race_2024!A:L, 8,FALSE),0)</f>
        <v>-8091102.1710000001</v>
      </c>
      <c r="G18" s="539">
        <f>IFERROR(VLOOKUP($A18,Race_2024!A:L, 10,FALSE),0)</f>
        <v>-14548945.956</v>
      </c>
      <c r="H18" s="539">
        <f>IFERROR(VLOOKUP($A18,Race_2024!A:L, 11,FALSE),0)</f>
        <v>-15848789.859999999</v>
      </c>
      <c r="I18" s="538">
        <f>IFERROR(VLOOKUP($A18,Race_2024!A:L, 12,FALSE),0)</f>
        <v>-13293994.628</v>
      </c>
      <c r="J18" s="542"/>
      <c r="K18" s="532"/>
    </row>
    <row r="19" spans="1:11" ht="15" x14ac:dyDescent="0.25">
      <c r="A19" s="534" t="s">
        <v>764</v>
      </c>
      <c r="B19" s="534" t="e">
        <f>IFERROR(VLOOKUP(A19,Race_2024!A:C,3,FALSE), VLOOKUP(A19,Race_2024!A:C,3,FALSE))</f>
        <v>#N/A</v>
      </c>
      <c r="C19" s="541" t="s">
        <v>765</v>
      </c>
      <c r="D19" s="536">
        <f>IFERROR(VLOOKUP($A19,Race_2024!A:L, 7,FALSE),0)</f>
        <v>0</v>
      </c>
      <c r="E19" s="536">
        <f>IFERROR(VLOOKUP($A19,Race_2024!A:L, 9,FALSE),0)</f>
        <v>0</v>
      </c>
      <c r="F19" s="536">
        <f>IFERROR(VLOOKUP($A19,Race_2024!A:L, 8,FALSE),0)</f>
        <v>0</v>
      </c>
      <c r="G19" s="536">
        <f>IFERROR(VLOOKUP($A19,Race_2024!A:L, 10,FALSE),0)</f>
        <v>0</v>
      </c>
      <c r="H19" s="536">
        <f>IFERROR(VLOOKUP($A19,Race_2024!A:L, 11,FALSE),0)</f>
        <v>0</v>
      </c>
      <c r="I19" s="535">
        <f>IFERROR(VLOOKUP($A19,Race_2024!A:L, 12,FALSE),0)</f>
        <v>0</v>
      </c>
      <c r="J19" s="542"/>
      <c r="K19" s="532"/>
    </row>
    <row r="20" spans="1:11" ht="15" x14ac:dyDescent="0.25">
      <c r="A20" s="534" t="s">
        <v>766</v>
      </c>
      <c r="B20" s="534" t="str">
        <f>IFERROR(VLOOKUP(A20,Race_2024!A:C,3,FALSE), VLOOKUP(A20,Race_2024!A:C,3,FALSE))</f>
        <v>Var. manuf. costs</v>
      </c>
      <c r="C20" s="541" t="s">
        <v>767</v>
      </c>
      <c r="D20" s="536">
        <f>IFERROR(VLOOKUP($A20,Race_2024!A:L, 7,FALSE),0)</f>
        <v>-5977089.4479999999</v>
      </c>
      <c r="E20" s="536">
        <f>IFERROR(VLOOKUP($A20,Race_2024!A:L, 9,FALSE),0)</f>
        <v>-11992454.185000001</v>
      </c>
      <c r="F20" s="536">
        <f>IFERROR(VLOOKUP($A20,Race_2024!A:L, 8,FALSE),0)</f>
        <v>-7699665.6730000004</v>
      </c>
      <c r="G20" s="536">
        <f>IFERROR(VLOOKUP($A20,Race_2024!A:L, 10,FALSE),0)</f>
        <v>-13735738.665999999</v>
      </c>
      <c r="H20" s="536">
        <f>IFERROR(VLOOKUP($A20,Race_2024!A:L, 11,FALSE),0)</f>
        <v>-15035582.57</v>
      </c>
      <c r="I20" s="535">
        <f>IFERROR(VLOOKUP($A20,Race_2024!A:L, 12,FALSE),0)</f>
        <v>-13025184.267000001</v>
      </c>
      <c r="J20" s="542"/>
      <c r="K20" s="532"/>
    </row>
    <row r="21" spans="1:11" ht="15" x14ac:dyDescent="0.25">
      <c r="A21" s="534" t="s">
        <v>768</v>
      </c>
      <c r="B21" s="534" t="str">
        <f>IFERROR(VLOOKUP(A21,Race_2024!A:C,3,FALSE), VLOOKUP(A21,Race_2024!A:C,3,FALSE))</f>
        <v>Other var. costs</v>
      </c>
      <c r="C21" s="552" t="s">
        <v>769</v>
      </c>
      <c r="D21" s="539">
        <f>IFERROR(VLOOKUP($A21,Race_2024!A:L, 7,FALSE),0)</f>
        <v>-89980.365000000005</v>
      </c>
      <c r="E21" s="539">
        <f>IFERROR(VLOOKUP($A21,Race_2024!A:L, 9,FALSE),0)</f>
        <v>-650565.83299999998</v>
      </c>
      <c r="F21" s="539">
        <f>IFERROR(VLOOKUP($A21,Race_2024!A:L, 8,FALSE),0)</f>
        <v>-391436.49800000002</v>
      </c>
      <c r="G21" s="539">
        <f>IFERROR(VLOOKUP($A21,Race_2024!A:L, 10,FALSE),0)</f>
        <v>-813207.29</v>
      </c>
      <c r="H21" s="539">
        <f>IFERROR(VLOOKUP($A21,Race_2024!A:L, 11,FALSE),0)</f>
        <v>-813207.29</v>
      </c>
      <c r="I21" s="538">
        <f>IFERROR(VLOOKUP($A21,Race_2024!A:L, 12,FALSE),0)</f>
        <v>-268810.36099999998</v>
      </c>
      <c r="J21" s="542"/>
      <c r="K21" s="532"/>
    </row>
    <row r="22" spans="1:11" ht="15" x14ac:dyDescent="0.25">
      <c r="A22" s="534" t="s">
        <v>770</v>
      </c>
      <c r="B22" s="534" t="str">
        <f>IFERROR(VLOOKUP(A22,Race_2024!A:C,3,FALSE), VLOOKUP(A22,Race_2024!A:C,3,FALSE))</f>
        <v>OVC handling</v>
      </c>
      <c r="C22" s="551" t="s">
        <v>771</v>
      </c>
      <c r="D22" s="536">
        <f>IFERROR(VLOOKUP($A22,Race_2024!A:L, 7,FALSE),0)</f>
        <v>-53468.207999999999</v>
      </c>
      <c r="E22" s="536">
        <f>IFERROR(VLOOKUP($A22,Race_2024!A:L, 9,FALSE),0)</f>
        <v>-500150.51</v>
      </c>
      <c r="F22" s="536">
        <f>IFERROR(VLOOKUP($A22,Race_2024!A:L, 8,FALSE),0)</f>
        <v>-300636.11099999998</v>
      </c>
      <c r="G22" s="536">
        <f>IFERROR(VLOOKUP($A22,Race_2024!A:L, 10,FALSE),0)</f>
        <v>-625188.13699999999</v>
      </c>
      <c r="H22" s="536">
        <f>IFERROR(VLOOKUP($A22,Race_2024!A:L, 11,FALSE),0)</f>
        <v>-625188.13699999999</v>
      </c>
      <c r="I22" s="535">
        <f>IFERROR(VLOOKUP($A22,Race_2024!A:L, 12,FALSE),0)</f>
        <v>-184781.83300000001</v>
      </c>
      <c r="J22" s="542"/>
      <c r="K22" s="532"/>
    </row>
    <row r="23" spans="1:11" ht="15" x14ac:dyDescent="0.25">
      <c r="A23" s="534" t="s">
        <v>772</v>
      </c>
      <c r="B23" s="534" t="str">
        <f>IFERROR(VLOOKUP(A23,Race_2024!A:C,3,FALSE), VLOOKUP(A23,Race_2024!A:C,3,FALSE))</f>
        <v>OVC freight</v>
      </c>
      <c r="C23" s="551" t="s">
        <v>773</v>
      </c>
      <c r="D23" s="536">
        <f>IFERROR(VLOOKUP($A23,Race_2024!A:L, 7,FALSE),0)</f>
        <v>-36512.156999999999</v>
      </c>
      <c r="E23" s="536">
        <f>IFERROR(VLOOKUP($A23,Race_2024!A:L, 9,FALSE),0)</f>
        <v>-150415.323</v>
      </c>
      <c r="F23" s="536">
        <f>IFERROR(VLOOKUP($A23,Race_2024!A:L, 8,FALSE),0)</f>
        <v>-90800.387000000002</v>
      </c>
      <c r="G23" s="536">
        <f>IFERROR(VLOOKUP($A23,Race_2024!A:L, 10,FALSE),0)</f>
        <v>-188019.15299999999</v>
      </c>
      <c r="H23" s="536">
        <f>IFERROR(VLOOKUP($A23,Race_2024!A:L, 11,FALSE),0)</f>
        <v>-188019.15299999999</v>
      </c>
      <c r="I23" s="535">
        <f>IFERROR(VLOOKUP($A23,Race_2024!A:L, 12,FALSE),0)</f>
        <v>-84028.528000000006</v>
      </c>
      <c r="J23" s="542"/>
      <c r="K23" s="532"/>
    </row>
    <row r="24" spans="1:11" ht="15" x14ac:dyDescent="0.25">
      <c r="A24" s="534" t="s">
        <v>774</v>
      </c>
      <c r="B24" s="534" t="e">
        <f>IFERROR(VLOOKUP(A24,Race_2024!A:C,3,FALSE), VLOOKUP(A24,Race_2024!A:C,3,FALSE))</f>
        <v>#N/A</v>
      </c>
      <c r="C24" s="551" t="s">
        <v>775</v>
      </c>
      <c r="D24" s="536">
        <f>IFERROR(VLOOKUP($A24,Race_2024!A:L, 7,FALSE),0)</f>
        <v>0</v>
      </c>
      <c r="E24" s="536">
        <f>IFERROR(VLOOKUP($A24,Race_2024!A:L, 9,FALSE),0)</f>
        <v>0</v>
      </c>
      <c r="F24" s="536">
        <f>IFERROR(VLOOKUP($A24,Race_2024!A:L, 8,FALSE),0)</f>
        <v>0</v>
      </c>
      <c r="G24" s="536">
        <f>IFERROR(VLOOKUP($A24,Race_2024!A:L, 10,FALSE),0)</f>
        <v>0</v>
      </c>
      <c r="H24" s="536">
        <f>IFERROR(VLOOKUP($A24,Race_2024!A:L, 11,FALSE),0)</f>
        <v>0</v>
      </c>
      <c r="I24" s="535">
        <f>IFERROR(VLOOKUP($A24,Race_2024!A:L, 12,FALSE),0)</f>
        <v>0</v>
      </c>
      <c r="J24" s="542"/>
      <c r="K24" s="532"/>
    </row>
    <row r="25" spans="1:11" ht="15" x14ac:dyDescent="0.25">
      <c r="A25" s="534" t="s">
        <v>776</v>
      </c>
      <c r="B25" s="534" t="str">
        <f>IFERROR(VLOOKUP(A25,Race_2024!A:C,3,FALSE), VLOOKUP(A25,Race_2024!A:C,3,FALSE))</f>
        <v>Cost variations</v>
      </c>
      <c r="C25" s="554" t="s">
        <v>777</v>
      </c>
      <c r="D25" s="539">
        <f>IFERROR(VLOOKUP($A25,Race_2024!A:L, 7,FALSE),0)</f>
        <v>-215903.106</v>
      </c>
      <c r="E25" s="539">
        <f>IFERROR(VLOOKUP($A25,Race_2024!A:L, 9,FALSE),0)</f>
        <v>-426845.96899999998</v>
      </c>
      <c r="F25" s="539">
        <f>IFERROR(VLOOKUP($A25,Race_2024!A:L, 8,FALSE),0)</f>
        <v>103895.868</v>
      </c>
      <c r="G25" s="539">
        <f>IFERROR(VLOOKUP($A25,Race_2024!A:L, 10,FALSE),0)</f>
        <v>503971.65500000003</v>
      </c>
      <c r="H25" s="539">
        <f>IFERROR(VLOOKUP($A25,Race_2024!A:L, 11,FALSE),0)</f>
        <v>280531.71399999998</v>
      </c>
      <c r="I25" s="538">
        <f>IFERROR(VLOOKUP($A25,Race_2024!A:L, 12,FALSE),0)</f>
        <v>-256487.73300000001</v>
      </c>
      <c r="J25" s="542"/>
      <c r="K25" s="532"/>
    </row>
    <row r="26" spans="1:11" ht="13.15" customHeight="1" x14ac:dyDescent="0.25">
      <c r="A26" s="534" t="s">
        <v>778</v>
      </c>
      <c r="B26" s="534" t="str">
        <f>IFERROR(VLOOKUP(A26,Race_2024!A:C,3,FALSE), VLOOKUP(A26,Race_2024!A:C,3,FALSE))</f>
        <v>Var.to raw mat total</v>
      </c>
      <c r="C26" s="552" t="s">
        <v>779</v>
      </c>
      <c r="D26" s="539">
        <f>IFERROR(VLOOKUP($A26,Race_2024!A:L, 7,FALSE),0)</f>
        <v>-112883.447</v>
      </c>
      <c r="E26" s="539">
        <f>IFERROR(VLOOKUP($A26,Race_2024!A:L, 9,FALSE),0)</f>
        <v>0</v>
      </c>
      <c r="F26" s="539">
        <f>IFERROR(VLOOKUP($A26,Race_2024!A:L, 8,FALSE),0)</f>
        <v>-254375.997</v>
      </c>
      <c r="G26" s="539">
        <f>IFERROR(VLOOKUP($A26,Race_2024!A:L, 10,FALSE),0)</f>
        <v>-402022.49900000001</v>
      </c>
      <c r="H26" s="539">
        <f>IFERROR(VLOOKUP($A26,Race_2024!A:L, 11,FALSE),0)</f>
        <v>-402022.49900000001</v>
      </c>
      <c r="I26" s="538">
        <f>IFERROR(VLOOKUP($A26,Race_2024!A:L, 12,FALSE),0)</f>
        <v>0</v>
      </c>
      <c r="J26" s="542"/>
      <c r="K26" s="532"/>
    </row>
    <row r="27" spans="1:11" ht="15" x14ac:dyDescent="0.25">
      <c r="A27" s="534" t="s">
        <v>780</v>
      </c>
      <c r="B27" s="534" t="str">
        <f>IFERROR(VLOOKUP(A27,Race_2024!A:C,3,FALSE), VLOOKUP(A27,Race_2024!A:C,3,FALSE))</f>
        <v>Var.to raw mat price</v>
      </c>
      <c r="C27" s="551" t="s">
        <v>781</v>
      </c>
      <c r="D27" s="536">
        <f>IFERROR(VLOOKUP($A27,Race_2024!A:L, 7,FALSE),0)</f>
        <v>-138709.234</v>
      </c>
      <c r="E27" s="536">
        <f>IFERROR(VLOOKUP($A27,Race_2024!A:L, 9,FALSE),0)</f>
        <v>0</v>
      </c>
      <c r="F27" s="536">
        <f>IFERROR(VLOOKUP($A27,Race_2024!A:L, 8,FALSE),0)</f>
        <v>-220322.508</v>
      </c>
      <c r="G27" s="536">
        <f>IFERROR(VLOOKUP($A27,Race_2024!A:L, 10,FALSE),0)</f>
        <v>-335199.76</v>
      </c>
      <c r="H27" s="536">
        <f>IFERROR(VLOOKUP($A27,Race_2024!A:L, 11,FALSE),0)</f>
        <v>-335199.76</v>
      </c>
      <c r="I27" s="535">
        <f>IFERROR(VLOOKUP($A27,Race_2024!A:L, 12,FALSE),0)</f>
        <v>0</v>
      </c>
      <c r="J27" s="542"/>
      <c r="K27" s="532"/>
    </row>
    <row r="28" spans="1:11" ht="15" x14ac:dyDescent="0.25">
      <c r="A28" s="534" t="s">
        <v>782</v>
      </c>
      <c r="B28" s="534" t="e">
        <f>IFERROR(VLOOKUP(A28,Race_2024!A:C,3,FALSE), VLOOKUP(A28,Race_2024!A:C,3,FALSE))</f>
        <v>#N/A</v>
      </c>
      <c r="C28" s="551" t="s">
        <v>783</v>
      </c>
      <c r="D28" s="536">
        <f>IFERROR(VLOOKUP($A28,Race_2024!A:L, 7,FALSE),0)</f>
        <v>0</v>
      </c>
      <c r="E28" s="536">
        <f>IFERROR(VLOOKUP($A28,Race_2024!A:L, 9,FALSE),0)</f>
        <v>0</v>
      </c>
      <c r="F28" s="536">
        <f>IFERROR(VLOOKUP($A28,Race_2024!A:L, 8,FALSE),0)</f>
        <v>0</v>
      </c>
      <c r="G28" s="536">
        <f>IFERROR(VLOOKUP($A28,Race_2024!A:L, 10,FALSE),0)</f>
        <v>0</v>
      </c>
      <c r="H28" s="536">
        <f>IFERROR(VLOOKUP($A28,Race_2024!A:L, 11,FALSE),0)</f>
        <v>0</v>
      </c>
      <c r="I28" s="535">
        <f>IFERROR(VLOOKUP($A28,Race_2024!A:L, 12,FALSE),0)</f>
        <v>0</v>
      </c>
      <c r="J28" s="542"/>
      <c r="K28" s="532"/>
    </row>
    <row r="29" spans="1:11" ht="15" x14ac:dyDescent="0.25">
      <c r="A29" s="534" t="s">
        <v>784</v>
      </c>
      <c r="B29" s="534" t="str">
        <f>IFERROR(VLOOKUP(A29,Race_2024!A:C,3,FALSE), VLOOKUP(A29,Race_2024!A:C,3,FALSE))</f>
        <v>Inv.val.allo RM&amp;supp</v>
      </c>
      <c r="C29" s="551" t="s">
        <v>785</v>
      </c>
      <c r="D29" s="536">
        <f>IFERROR(VLOOKUP($A29,Race_2024!A:L, 7,FALSE),0)</f>
        <v>51189.49</v>
      </c>
      <c r="E29" s="536">
        <f>IFERROR(VLOOKUP($A29,Race_2024!A:L, 9,FALSE),0)</f>
        <v>0</v>
      </c>
      <c r="F29" s="536">
        <f>IFERROR(VLOOKUP($A29,Race_2024!A:L, 8,FALSE),0)</f>
        <v>-34993.847999999998</v>
      </c>
      <c r="G29" s="536">
        <f>IFERROR(VLOOKUP($A29,Race_2024!A:L, 10,FALSE),0)</f>
        <v>-67758.448000000004</v>
      </c>
      <c r="H29" s="536">
        <f>IFERROR(VLOOKUP($A29,Race_2024!A:L, 11,FALSE),0)</f>
        <v>-67758.448000000004</v>
      </c>
      <c r="I29" s="535">
        <f>IFERROR(VLOOKUP($A29,Race_2024!A:L, 12,FALSE),0)</f>
        <v>0</v>
      </c>
      <c r="J29" s="542"/>
      <c r="K29" s="532"/>
    </row>
    <row r="30" spans="1:11" ht="15" x14ac:dyDescent="0.25">
      <c r="A30" s="534" t="s">
        <v>786</v>
      </c>
      <c r="B30" s="534" t="str">
        <f>IFERROR(VLOOKUP(A30,Race_2024!A:C,3,FALSE), VLOOKUP(A30,Race_2024!A:C,3,FALSE))</f>
        <v>Inv.var.(RM&amp;supp)</v>
      </c>
      <c r="C30" s="551" t="s">
        <v>787</v>
      </c>
      <c r="D30" s="536">
        <f>IFERROR(VLOOKUP($A30,Race_2024!A:L, 7,FALSE),0)</f>
        <v>-25363.703000000001</v>
      </c>
      <c r="E30" s="536">
        <f>IFERROR(VLOOKUP($A30,Race_2024!A:L, 9,FALSE),0)</f>
        <v>0</v>
      </c>
      <c r="F30" s="536">
        <f>IFERROR(VLOOKUP($A30,Race_2024!A:L, 8,FALSE),0)</f>
        <v>940.35900000000004</v>
      </c>
      <c r="G30" s="536">
        <f>IFERROR(VLOOKUP($A30,Race_2024!A:L, 10,FALSE),0)</f>
        <v>935.70899999999995</v>
      </c>
      <c r="H30" s="536">
        <f>IFERROR(VLOOKUP($A30,Race_2024!A:L, 11,FALSE),0)</f>
        <v>935.70899999999995</v>
      </c>
      <c r="I30" s="535">
        <f>IFERROR(VLOOKUP($A30,Race_2024!A:L, 12,FALSE),0)</f>
        <v>0</v>
      </c>
      <c r="J30" s="542"/>
      <c r="K30" s="532"/>
    </row>
    <row r="31" spans="1:11" ht="15" x14ac:dyDescent="0.25">
      <c r="A31" s="534" t="s">
        <v>788</v>
      </c>
      <c r="B31" s="534" t="e">
        <f>IFERROR(VLOOKUP(A31,Race_2024!A:C,3,FALSE), VLOOKUP(A31,Race_2024!A:C,3,FALSE))</f>
        <v>#N/A</v>
      </c>
      <c r="C31" s="551" t="s">
        <v>789</v>
      </c>
      <c r="D31" s="536">
        <f>IFERROR(VLOOKUP($A31,Race_2024!A:L, 7,FALSE),0)</f>
        <v>0</v>
      </c>
      <c r="E31" s="536">
        <f>IFERROR(VLOOKUP($A31,Race_2024!A:L, 9,FALSE),0)</f>
        <v>0</v>
      </c>
      <c r="F31" s="536">
        <f>IFERROR(VLOOKUP($A31,Race_2024!A:L, 8,FALSE),0)</f>
        <v>0</v>
      </c>
      <c r="G31" s="536">
        <f>IFERROR(VLOOKUP($A31,Race_2024!A:L, 10,FALSE),0)</f>
        <v>0</v>
      </c>
      <c r="H31" s="536">
        <f>IFERROR(VLOOKUP($A31,Race_2024!A:L, 11,FALSE),0)</f>
        <v>0</v>
      </c>
      <c r="I31" s="535">
        <f>IFERROR(VLOOKUP($A31,Race_2024!A:L, 12,FALSE),0)</f>
        <v>0</v>
      </c>
      <c r="J31" s="542"/>
      <c r="K31" s="532"/>
    </row>
    <row r="32" spans="1:11" ht="15" x14ac:dyDescent="0.25">
      <c r="A32" s="534" t="s">
        <v>790</v>
      </c>
      <c r="B32" s="534" t="e">
        <f>IFERROR(VLOOKUP(A32,Race_2024!A:C,3,FALSE), VLOOKUP(A32,Race_2024!A:C,3,FALSE))</f>
        <v>#N/A</v>
      </c>
      <c r="C32" s="551" t="s">
        <v>791</v>
      </c>
      <c r="D32" s="536">
        <f>IFERROR(VLOOKUP($A32,Race_2024!A:L, 7,FALSE),0)</f>
        <v>0</v>
      </c>
      <c r="E32" s="536">
        <f>IFERROR(VLOOKUP($A32,Race_2024!A:L, 9,FALSE),0)</f>
        <v>0</v>
      </c>
      <c r="F32" s="536">
        <f>IFERROR(VLOOKUP($A32,Race_2024!A:L, 8,FALSE),0)</f>
        <v>0</v>
      </c>
      <c r="G32" s="536">
        <f>IFERROR(VLOOKUP($A32,Race_2024!A:L, 10,FALSE),0)</f>
        <v>0</v>
      </c>
      <c r="H32" s="536">
        <f>IFERROR(VLOOKUP($A32,Race_2024!A:L, 11,FALSE),0)</f>
        <v>0</v>
      </c>
      <c r="I32" s="535">
        <f>IFERROR(VLOOKUP($A32,Race_2024!A:L, 12,FALSE),0)</f>
        <v>0</v>
      </c>
      <c r="J32" s="542"/>
      <c r="K32" s="532"/>
    </row>
    <row r="33" spans="1:11" ht="15" x14ac:dyDescent="0.25">
      <c r="A33" s="534" t="s">
        <v>792</v>
      </c>
      <c r="B33" s="534" t="str">
        <f>IFERROR(VLOOKUP(A33,Race_2024!A:C,3,FALSE), VLOOKUP(A33,Race_2024!A:C,3,FALSE))</f>
        <v>Var. in manuf. tot</v>
      </c>
      <c r="C33" s="552" t="s">
        <v>793</v>
      </c>
      <c r="D33" s="539">
        <f>IFERROR(VLOOKUP($A33,Race_2024!A:L, 7,FALSE),0)</f>
        <v>85673.337</v>
      </c>
      <c r="E33" s="539">
        <f>IFERROR(VLOOKUP($A33,Race_2024!A:L, 9,FALSE),0)</f>
        <v>-261409.109</v>
      </c>
      <c r="F33" s="539">
        <f>IFERROR(VLOOKUP($A33,Race_2024!A:L, 8,FALSE),0)</f>
        <v>272730.99099999998</v>
      </c>
      <c r="G33" s="539">
        <f>IFERROR(VLOOKUP($A33,Race_2024!A:L, 10,FALSE),0)</f>
        <v>681558.27</v>
      </c>
      <c r="H33" s="539">
        <f>IFERROR(VLOOKUP($A33,Race_2024!A:L, 11,FALSE),0)</f>
        <v>567467.60699999996</v>
      </c>
      <c r="I33" s="538">
        <f>IFERROR(VLOOKUP($A33,Race_2024!A:L, 12,FALSE),0)</f>
        <v>-81112.085000000006</v>
      </c>
      <c r="J33" s="542"/>
      <c r="K33" s="532"/>
    </row>
    <row r="34" spans="1:11" ht="15" x14ac:dyDescent="0.25">
      <c r="A34" s="534" t="s">
        <v>794</v>
      </c>
      <c r="B34" s="534" t="e">
        <f>IFERROR(VLOOKUP(A34,Race_2024!A:C,3,FALSE), VLOOKUP(A34,Race_2024!A:C,3,FALSE))</f>
        <v>#N/A</v>
      </c>
      <c r="C34" s="553" t="s">
        <v>795</v>
      </c>
      <c r="D34" s="536">
        <f>IFERROR(VLOOKUP($A34,Race_2024!A:L, 7,FALSE),0)</f>
        <v>0</v>
      </c>
      <c r="E34" s="536">
        <f>IFERROR(VLOOKUP($A34,Race_2024!A:L, 9,FALSE),0)</f>
        <v>0</v>
      </c>
      <c r="F34" s="536">
        <f>IFERROR(VLOOKUP($A34,Race_2024!A:L, 8,FALSE),0)</f>
        <v>0</v>
      </c>
      <c r="G34" s="536">
        <f>IFERROR(VLOOKUP($A34,Race_2024!A:L, 10,FALSE),0)</f>
        <v>0</v>
      </c>
      <c r="H34" s="536">
        <f>IFERROR(VLOOKUP($A34,Race_2024!A:L, 11,FALSE),0)</f>
        <v>0</v>
      </c>
      <c r="I34" s="535">
        <f>IFERROR(VLOOKUP($A34,Race_2024!A:L, 12,FALSE),0)</f>
        <v>0</v>
      </c>
      <c r="J34" s="542"/>
      <c r="K34" s="532"/>
    </row>
    <row r="35" spans="1:11" ht="15" x14ac:dyDescent="0.25">
      <c r="A35" s="534" t="s">
        <v>796</v>
      </c>
      <c r="B35" s="534" t="str">
        <f>IFERROR(VLOOKUP(A35,Race_2024!A:C,3,FALSE), VLOOKUP(A35,Race_2024!A:C,3,FALSE))</f>
        <v>Var.to mfg oth.inp.</v>
      </c>
      <c r="C35" s="553" t="s">
        <v>797</v>
      </c>
      <c r="D35" s="536">
        <f>IFERROR(VLOOKUP($A35,Race_2024!A:L, 7,FALSE),0)</f>
        <v>14620.174000000001</v>
      </c>
      <c r="E35" s="536">
        <f>IFERROR(VLOOKUP($A35,Race_2024!A:L, 9,FALSE),0)</f>
        <v>0</v>
      </c>
      <c r="F35" s="536">
        <f>IFERROR(VLOOKUP($A35,Race_2024!A:L, 8,FALSE),0)</f>
        <v>363796.36099999998</v>
      </c>
      <c r="G35" s="536">
        <f>IFERROR(VLOOKUP($A35,Race_2024!A:L, 10,FALSE),0)</f>
        <v>736052.76599999995</v>
      </c>
      <c r="H35" s="536">
        <f>IFERROR(VLOOKUP($A35,Race_2024!A:L, 11,FALSE),0)</f>
        <v>829475.86100000003</v>
      </c>
      <c r="I35" s="535">
        <f>IFERROR(VLOOKUP($A35,Race_2024!A:L, 12,FALSE),0)</f>
        <v>0</v>
      </c>
      <c r="J35" s="542"/>
      <c r="K35" s="532"/>
    </row>
    <row r="36" spans="1:11" ht="15" x14ac:dyDescent="0.25">
      <c r="A36" s="534" t="s">
        <v>798</v>
      </c>
      <c r="B36" s="534" t="str">
        <f>IFERROR(VLOOKUP(A36,Race_2024!A:C,3,FALSE), VLOOKUP(A36,Race_2024!A:C,3,FALSE))</f>
        <v>Var.to mfg oth.inp.</v>
      </c>
      <c r="C36" s="553" t="s">
        <v>799</v>
      </c>
      <c r="D36" s="536">
        <f>IFERROR(VLOOKUP($A36,Race_2024!A:L, 7,FALSE),0)</f>
        <v>5321.299</v>
      </c>
      <c r="E36" s="536">
        <f>IFERROR(VLOOKUP($A36,Race_2024!A:L, 9,FALSE),0)</f>
        <v>0</v>
      </c>
      <c r="F36" s="536">
        <f>IFERROR(VLOOKUP($A36,Race_2024!A:L, 8,FALSE),0)</f>
        <v>83672.834000000003</v>
      </c>
      <c r="G36" s="536">
        <f>IFERROR(VLOOKUP($A36,Race_2024!A:L, 10,FALSE),0)</f>
        <v>146784.59099999999</v>
      </c>
      <c r="H36" s="536">
        <f>IFERROR(VLOOKUP($A36,Race_2024!A:L, 11,FALSE),0)</f>
        <v>2989.2779999999998</v>
      </c>
      <c r="I36" s="535">
        <f>IFERROR(VLOOKUP($A36,Race_2024!A:L, 12,FALSE),0)</f>
        <v>0</v>
      </c>
      <c r="J36" s="542"/>
      <c r="K36" s="532"/>
    </row>
    <row r="37" spans="1:11" ht="15" x14ac:dyDescent="0.25">
      <c r="A37" s="534" t="s">
        <v>800</v>
      </c>
      <c r="B37" s="534" t="e">
        <f>IFERROR(VLOOKUP(A37,Race_2024!A:C,3,FALSE), VLOOKUP(A37,Race_2024!A:C,3,FALSE))</f>
        <v>#N/A</v>
      </c>
      <c r="C37" s="553" t="s">
        <v>801</v>
      </c>
      <c r="D37" s="536">
        <f>IFERROR(VLOOKUP($A37,Race_2024!A:L, 7,FALSE),0)</f>
        <v>0</v>
      </c>
      <c r="E37" s="536">
        <f>IFERROR(VLOOKUP($A37,Race_2024!A:L, 9,FALSE),0)</f>
        <v>0</v>
      </c>
      <c r="F37" s="536">
        <f>IFERROR(VLOOKUP($A37,Race_2024!A:L, 8,FALSE),0)</f>
        <v>0</v>
      </c>
      <c r="G37" s="536">
        <f>IFERROR(VLOOKUP($A37,Race_2024!A:L, 10,FALSE),0)</f>
        <v>0</v>
      </c>
      <c r="H37" s="536">
        <f>IFERROR(VLOOKUP($A37,Race_2024!A:L, 11,FALSE),0)</f>
        <v>0</v>
      </c>
      <c r="I37" s="535">
        <f>IFERROR(VLOOKUP($A37,Race_2024!A:L, 12,FALSE),0)</f>
        <v>0</v>
      </c>
      <c r="J37" s="542"/>
      <c r="K37" s="532"/>
    </row>
    <row r="38" spans="1:11" ht="15" x14ac:dyDescent="0.25">
      <c r="A38" s="534" t="s">
        <v>802</v>
      </c>
      <c r="B38" s="534" t="str">
        <f>IFERROR(VLOOKUP(A38,Race_2024!A:C,3,FALSE), VLOOKUP(A38,Race_2024!A:C,3,FALSE))</f>
        <v>Var.in Pr.Labor dep.</v>
      </c>
      <c r="C38" s="553" t="s">
        <v>803</v>
      </c>
      <c r="D38" s="536">
        <f>IFERROR(VLOOKUP($A38,Race_2024!A:L, 7,FALSE),0)</f>
        <v>195496.17199999999</v>
      </c>
      <c r="E38" s="536">
        <f>IFERROR(VLOOKUP($A38,Race_2024!A:L, 9,FALSE),0)</f>
        <v>0</v>
      </c>
      <c r="F38" s="536">
        <f>IFERROR(VLOOKUP($A38,Race_2024!A:L, 8,FALSE),0)</f>
        <v>39957.86</v>
      </c>
      <c r="G38" s="536">
        <f>IFERROR(VLOOKUP($A38,Race_2024!A:L, 10,FALSE),0)</f>
        <v>65187.77</v>
      </c>
      <c r="H38" s="536">
        <f>IFERROR(VLOOKUP($A38,Race_2024!A:L, 11,FALSE),0)</f>
        <v>65187.77</v>
      </c>
      <c r="I38" s="535">
        <f>IFERROR(VLOOKUP($A38,Race_2024!A:L, 12,FALSE),0)</f>
        <v>0</v>
      </c>
      <c r="J38" s="542"/>
      <c r="K38" s="532"/>
    </row>
    <row r="39" spans="1:11" ht="15" x14ac:dyDescent="0.25">
      <c r="A39" s="534" t="s">
        <v>804</v>
      </c>
      <c r="B39" s="534" t="str">
        <f>IFERROR(VLOOKUP(A39,Race_2024!A:C,3,FALSE), VLOOKUP(A39,Race_2024!A:C,3,FALSE))</f>
        <v>Var.in Pro.Machine d</v>
      </c>
      <c r="C39" s="553" t="s">
        <v>805</v>
      </c>
      <c r="D39" s="536">
        <f>IFERROR(VLOOKUP($A39,Race_2024!A:L, 7,FALSE),0)</f>
        <v>2860.5309999999999</v>
      </c>
      <c r="E39" s="536">
        <f>IFERROR(VLOOKUP($A39,Race_2024!A:L, 9,FALSE),0)</f>
        <v>0</v>
      </c>
      <c r="F39" s="536">
        <f>IFERROR(VLOOKUP($A39,Race_2024!A:L, 8,FALSE),0)</f>
        <v>-138431.272</v>
      </c>
      <c r="G39" s="536">
        <f>IFERROR(VLOOKUP($A39,Race_2024!A:L, 10,FALSE),0)</f>
        <v>-97639.558000000005</v>
      </c>
      <c r="H39" s="536">
        <f>IFERROR(VLOOKUP($A39,Race_2024!A:L, 11,FALSE),0)</f>
        <v>-97639.558000000005</v>
      </c>
      <c r="I39" s="535">
        <f>IFERROR(VLOOKUP($A39,Race_2024!A:L, 12,FALSE),0)</f>
        <v>0</v>
      </c>
      <c r="J39" s="542"/>
      <c r="K39" s="532"/>
    </row>
    <row r="40" spans="1:11" ht="15" x14ac:dyDescent="0.25">
      <c r="A40" s="534" t="s">
        <v>806</v>
      </c>
      <c r="B40" s="534" t="str">
        <f>IFERROR(VLOOKUP(A40,Race_2024!A:C,3,FALSE), VLOOKUP(A40,Race_2024!A:C,3,FALSE))</f>
        <v>Var.act to std.prod.</v>
      </c>
      <c r="C40" s="553" t="s">
        <v>807</v>
      </c>
      <c r="D40" s="536">
        <f>IFERROR(VLOOKUP($A40,Race_2024!A:L, 7,FALSE),0)</f>
        <v>-7644.4359999999997</v>
      </c>
      <c r="E40" s="536">
        <f>IFERROR(VLOOKUP($A40,Race_2024!A:L, 9,FALSE),0)</f>
        <v>0</v>
      </c>
      <c r="F40" s="536">
        <f>IFERROR(VLOOKUP($A40,Race_2024!A:L, 8,FALSE),0)</f>
        <v>-7680.5050000000001</v>
      </c>
      <c r="G40" s="536">
        <f>IFERROR(VLOOKUP($A40,Race_2024!A:L, 10,FALSE),0)</f>
        <v>0</v>
      </c>
      <c r="H40" s="536">
        <f>IFERROR(VLOOKUP($A40,Race_2024!A:L, 11,FALSE),0)</f>
        <v>0</v>
      </c>
      <c r="I40" s="535">
        <f>IFERROR(VLOOKUP($A40,Race_2024!A:L, 12,FALSE),0)</f>
        <v>0</v>
      </c>
      <c r="J40" s="542"/>
      <c r="K40" s="532"/>
    </row>
    <row r="41" spans="1:11" ht="15" x14ac:dyDescent="0.25">
      <c r="A41" s="534" t="s">
        <v>808</v>
      </c>
      <c r="B41" s="534" t="str">
        <f>IFERROR(VLOOKUP(A41,Race_2024!A:C,3,FALSE), VLOOKUP(A41,Race_2024!A:C,3,FALSE))</f>
        <v>Var.Inbound freight</v>
      </c>
      <c r="C41" s="553" t="s">
        <v>809</v>
      </c>
      <c r="D41" s="536">
        <f>IFERROR(VLOOKUP($A41,Race_2024!A:L, 7,FALSE),0)</f>
        <v>-38969.67</v>
      </c>
      <c r="E41" s="536">
        <f>IFERROR(VLOOKUP($A41,Race_2024!A:L, 9,FALSE),0)</f>
        <v>0</v>
      </c>
      <c r="F41" s="536">
        <f>IFERROR(VLOOKUP($A41,Race_2024!A:L, 8,FALSE),0)</f>
        <v>-36302.008000000002</v>
      </c>
      <c r="G41" s="536">
        <f>IFERROR(VLOOKUP($A41,Race_2024!A:L, 10,FALSE),0)</f>
        <v>-56104.487000000001</v>
      </c>
      <c r="H41" s="536">
        <f>IFERROR(VLOOKUP($A41,Race_2024!A:L, 11,FALSE),0)</f>
        <v>-18615.346000000001</v>
      </c>
      <c r="I41" s="535">
        <f>IFERROR(VLOOKUP($A41,Race_2024!A:L, 12,FALSE),0)</f>
        <v>0</v>
      </c>
      <c r="J41" s="542"/>
      <c r="K41" s="532"/>
    </row>
    <row r="42" spans="1:11" ht="15" x14ac:dyDescent="0.25">
      <c r="A42" s="534" t="s">
        <v>810</v>
      </c>
      <c r="B42" s="534" t="str">
        <f>IFERROR(VLOOKUP(A42,Race_2024!A:C,3,FALSE), VLOOKUP(A42,Race_2024!A:C,3,FALSE))</f>
        <v>Var. ICO Cus. &amp; Duty</v>
      </c>
      <c r="C42" s="553" t="s">
        <v>811</v>
      </c>
      <c r="D42" s="536">
        <f>IFERROR(VLOOKUP($A42,Race_2024!A:L, 7,FALSE),0)</f>
        <v>-1247.645</v>
      </c>
      <c r="E42" s="536">
        <f>IFERROR(VLOOKUP($A42,Race_2024!A:L, 9,FALSE),0)</f>
        <v>0</v>
      </c>
      <c r="F42" s="536">
        <f>IFERROR(VLOOKUP($A42,Race_2024!A:L, 8,FALSE),0)</f>
        <v>72.27</v>
      </c>
      <c r="G42" s="536">
        <f>IFERROR(VLOOKUP($A42,Race_2024!A:L, 10,FALSE),0)</f>
        <v>0</v>
      </c>
      <c r="H42" s="536">
        <f>IFERROR(VLOOKUP($A42,Race_2024!A:L, 11,FALSE),0)</f>
        <v>0</v>
      </c>
      <c r="I42" s="535">
        <f>IFERROR(VLOOKUP($A42,Race_2024!A:L, 12,FALSE),0)</f>
        <v>0</v>
      </c>
      <c r="J42" s="542"/>
      <c r="K42" s="532"/>
    </row>
    <row r="43" spans="1:11" ht="15" x14ac:dyDescent="0.25">
      <c r="A43" s="534" t="s">
        <v>812</v>
      </c>
      <c r="B43" s="534" t="str">
        <f>IFERROR(VLOOKUP(A43,Race_2024!A:C,3,FALSE), VLOOKUP(A43,Race_2024!A:C,3,FALSE))</f>
        <v>Var.to lab.C.T.incr.</v>
      </c>
      <c r="C43" s="553" t="s">
        <v>813</v>
      </c>
      <c r="D43" s="536">
        <f>IFERROR(VLOOKUP($A43,Race_2024!A:L, 7,FALSE),0)</f>
        <v>-17122.971000000001</v>
      </c>
      <c r="E43" s="536">
        <f>IFERROR(VLOOKUP($A43,Race_2024!A:L, 9,FALSE),0)</f>
        <v>0</v>
      </c>
      <c r="F43" s="536">
        <f>IFERROR(VLOOKUP($A43,Race_2024!A:L, 8,FALSE),0)</f>
        <v>11870.8</v>
      </c>
      <c r="G43" s="536">
        <f>IFERROR(VLOOKUP($A43,Race_2024!A:L, 10,FALSE),0)</f>
        <v>0</v>
      </c>
      <c r="H43" s="536">
        <f>IFERROR(VLOOKUP($A43,Race_2024!A:L, 11,FALSE),0)</f>
        <v>11870.8</v>
      </c>
      <c r="I43" s="535">
        <f>IFERROR(VLOOKUP($A43,Race_2024!A:L, 12,FALSE),0)</f>
        <v>0</v>
      </c>
      <c r="J43" s="542"/>
      <c r="K43" s="532"/>
    </row>
    <row r="44" spans="1:11" ht="15" x14ac:dyDescent="0.25">
      <c r="A44" s="534" t="s">
        <v>814</v>
      </c>
      <c r="B44" s="534" t="str">
        <f>IFERROR(VLOOKUP(A44,Race_2024!A:C,3,FALSE), VLOOKUP(A44,Race_2024!A:C,3,FALSE))</f>
        <v>Var.rew/spoil/scrap</v>
      </c>
      <c r="C44" s="553" t="s">
        <v>300</v>
      </c>
      <c r="D44" s="536">
        <f>IFERROR(VLOOKUP($A44,Race_2024!A:L, 7,FALSE),0)</f>
        <v>12295.48</v>
      </c>
      <c r="E44" s="536">
        <f>IFERROR(VLOOKUP($A44,Race_2024!A:L, 9,FALSE),0)</f>
        <v>-221539.109</v>
      </c>
      <c r="F44" s="536">
        <f>IFERROR(VLOOKUP($A44,Race_2024!A:L, 8,FALSE),0)</f>
        <v>-34169.339999999997</v>
      </c>
      <c r="G44" s="536">
        <f>IFERROR(VLOOKUP($A44,Race_2024!A:L, 10,FALSE),0)</f>
        <v>-174383.08100000001</v>
      </c>
      <c r="H44" s="536">
        <f>IFERROR(VLOOKUP($A44,Race_2024!A:L, 11,FALSE),0)</f>
        <v>-187369.769</v>
      </c>
      <c r="I44" s="535">
        <f>IFERROR(VLOOKUP($A44,Race_2024!A:L, 12,FALSE),0)</f>
        <v>-81112.085000000006</v>
      </c>
      <c r="J44" s="542"/>
      <c r="K44" s="532"/>
    </row>
    <row r="45" spans="1:11" ht="15" x14ac:dyDescent="0.25">
      <c r="A45" s="534" t="s">
        <v>815</v>
      </c>
      <c r="B45" s="534" t="str">
        <f>IFERROR(VLOOKUP(A45,Race_2024!A:C,3,FALSE), VLOOKUP(A45,Race_2024!A:C,3,FALSE))</f>
        <v>Var. material usage</v>
      </c>
      <c r="C45" s="553" t="s">
        <v>816</v>
      </c>
      <c r="D45" s="536">
        <f>IFERROR(VLOOKUP($A45,Race_2024!A:L, 7,FALSE),0)</f>
        <v>21137.473999999998</v>
      </c>
      <c r="E45" s="536">
        <f>IFERROR(VLOOKUP($A45,Race_2024!A:L, 9,FALSE),0)</f>
        <v>0</v>
      </c>
      <c r="F45" s="536">
        <f>IFERROR(VLOOKUP($A45,Race_2024!A:L, 8,FALSE),0)</f>
        <v>-4308.7190000000001</v>
      </c>
      <c r="G45" s="536">
        <f>IFERROR(VLOOKUP($A45,Race_2024!A:L, 10,FALSE),0)</f>
        <v>957.55899999999997</v>
      </c>
      <c r="H45" s="536">
        <f>IFERROR(VLOOKUP($A45,Race_2024!A:L, 11,FALSE),0)</f>
        <v>-4308.7190000000001</v>
      </c>
      <c r="I45" s="535">
        <f>IFERROR(VLOOKUP($A45,Race_2024!A:L, 12,FALSE),0)</f>
        <v>0</v>
      </c>
      <c r="J45" s="542"/>
      <c r="K45" s="532"/>
    </row>
    <row r="46" spans="1:11" ht="15" x14ac:dyDescent="0.25">
      <c r="A46" s="534" t="s">
        <v>817</v>
      </c>
      <c r="B46" s="534" t="str">
        <f>IFERROR(VLOOKUP(A46,Race_2024!A:C,3,FALSE), VLOOKUP(A46,Race_2024!A:C,3,FALSE))</f>
        <v>Var.due t.startUp C</v>
      </c>
      <c r="C46" s="553" t="s">
        <v>818</v>
      </c>
      <c r="D46" s="536">
        <f>IFERROR(VLOOKUP($A46,Race_2024!A:L, 7,FALSE),0)</f>
        <v>-101073.071</v>
      </c>
      <c r="E46" s="536">
        <f>IFERROR(VLOOKUP($A46,Race_2024!A:L, 9,FALSE),0)</f>
        <v>-39870</v>
      </c>
      <c r="F46" s="536">
        <f>IFERROR(VLOOKUP($A46,Race_2024!A:L, 8,FALSE),0)</f>
        <v>-5747.29</v>
      </c>
      <c r="G46" s="536">
        <f>IFERROR(VLOOKUP($A46,Race_2024!A:L, 10,FALSE),0)</f>
        <v>60702.71</v>
      </c>
      <c r="H46" s="536">
        <f>IFERROR(VLOOKUP($A46,Race_2024!A:L, 11,FALSE),0)</f>
        <v>-34122.71</v>
      </c>
      <c r="I46" s="535">
        <f>IFERROR(VLOOKUP($A46,Race_2024!A:L, 12,FALSE),0)</f>
        <v>0</v>
      </c>
      <c r="J46" s="542"/>
      <c r="K46" s="532"/>
    </row>
    <row r="47" spans="1:11" ht="15" x14ac:dyDescent="0.25">
      <c r="A47" s="534" t="s">
        <v>819</v>
      </c>
      <c r="B47" s="534" t="str">
        <f>IFERROR(VLOOKUP(A47,Race_2024!A:C,3,FALSE), VLOOKUP(A47,Race_2024!A:C,3,FALSE))</f>
        <v>Other cost var. tot</v>
      </c>
      <c r="C47" s="552" t="s">
        <v>820</v>
      </c>
      <c r="D47" s="539">
        <f>IFERROR(VLOOKUP($A47,Race_2024!A:L, 7,FALSE),0)</f>
        <v>-188692.99600000001</v>
      </c>
      <c r="E47" s="539">
        <f>IFERROR(VLOOKUP($A47,Race_2024!A:L, 9,FALSE),0)</f>
        <v>-165436.85999999999</v>
      </c>
      <c r="F47" s="539">
        <f>IFERROR(VLOOKUP($A47,Race_2024!A:L, 8,FALSE),0)</f>
        <v>85540.873999999996</v>
      </c>
      <c r="G47" s="539">
        <f>IFERROR(VLOOKUP($A47,Race_2024!A:L, 10,FALSE),0)</f>
        <v>224435.88399999999</v>
      </c>
      <c r="H47" s="539">
        <f>IFERROR(VLOOKUP($A47,Race_2024!A:L, 11,FALSE),0)</f>
        <v>115086.606</v>
      </c>
      <c r="I47" s="538">
        <f>IFERROR(VLOOKUP($A47,Race_2024!A:L, 12,FALSE),0)</f>
        <v>-175375.64799999999</v>
      </c>
      <c r="J47" s="542"/>
      <c r="K47" s="532"/>
    </row>
    <row r="48" spans="1:11" ht="15" x14ac:dyDescent="0.25">
      <c r="A48" s="534" t="s">
        <v>821</v>
      </c>
      <c r="B48" s="534" t="e">
        <f>IFERROR(VLOOKUP(A48,Race_2024!A:C,3,FALSE), VLOOKUP(A48,Race_2024!A:C,3,FALSE))</f>
        <v>#N/A</v>
      </c>
      <c r="C48" s="551" t="s">
        <v>822</v>
      </c>
      <c r="D48" s="536">
        <f>IFERROR(VLOOKUP($A48,Race_2024!A:L, 7,FALSE),0)</f>
        <v>0</v>
      </c>
      <c r="E48" s="536">
        <f>IFERROR(VLOOKUP($A48,Race_2024!A:L, 9,FALSE),0)</f>
        <v>0</v>
      </c>
      <c r="F48" s="536">
        <f>IFERROR(VLOOKUP($A48,Race_2024!A:L, 8,FALSE),0)</f>
        <v>0</v>
      </c>
      <c r="G48" s="536">
        <f>IFERROR(VLOOKUP($A48,Race_2024!A:L, 10,FALSE),0)</f>
        <v>0</v>
      </c>
      <c r="H48" s="536">
        <f>IFERROR(VLOOKUP($A48,Race_2024!A:L, 11,FALSE),0)</f>
        <v>0</v>
      </c>
      <c r="I48" s="535">
        <f>IFERROR(VLOOKUP($A48,Race_2024!A:L, 12,FALSE),0)</f>
        <v>0</v>
      </c>
      <c r="J48" s="542"/>
      <c r="K48" s="532"/>
    </row>
    <row r="49" spans="1:11" ht="15" x14ac:dyDescent="0.25">
      <c r="A49" s="534" t="s">
        <v>823</v>
      </c>
      <c r="B49" s="534" t="str">
        <f>IFERROR(VLOOKUP(A49,Race_2024!A:C,3,FALSE), VLOOKUP(A49,Race_2024!A:C,3,FALSE))</f>
        <v>R&amp;A and gen.warr.</v>
      </c>
      <c r="C49" s="551" t="s">
        <v>824</v>
      </c>
      <c r="D49" s="536">
        <f>IFERROR(VLOOKUP($A49,Race_2024!A:L, 7,FALSE),0)</f>
        <v>-62827.038</v>
      </c>
      <c r="E49" s="536">
        <f>IFERROR(VLOOKUP($A49,Race_2024!A:L, 9,FALSE),0)</f>
        <v>-165436.85999999999</v>
      </c>
      <c r="F49" s="536">
        <f>IFERROR(VLOOKUP($A49,Race_2024!A:L, 8,FALSE),0)</f>
        <v>-101225.7</v>
      </c>
      <c r="G49" s="536">
        <f>IFERROR(VLOOKUP($A49,Race_2024!A:L, 10,FALSE),0)</f>
        <v>-81198.45</v>
      </c>
      <c r="H49" s="536">
        <f>IFERROR(VLOOKUP($A49,Race_2024!A:L, 11,FALSE),0)</f>
        <v>-64211.16</v>
      </c>
      <c r="I49" s="535">
        <f>IFERROR(VLOOKUP($A49,Race_2024!A:L, 12,FALSE),0)</f>
        <v>-175375.64799999999</v>
      </c>
      <c r="J49" s="542"/>
      <c r="K49" s="532"/>
    </row>
    <row r="50" spans="1:11" ht="15" x14ac:dyDescent="0.25">
      <c r="A50" s="534" t="s">
        <v>825</v>
      </c>
      <c r="B50" s="534" t="str">
        <f>IFERROR(VLOOKUP(A50,Race_2024!A:C,3,FALSE), VLOOKUP(A50,Race_2024!A:C,3,FALSE))</f>
        <v>Var. to handling</v>
      </c>
      <c r="C50" s="551" t="s">
        <v>826</v>
      </c>
      <c r="D50" s="536">
        <f>IFERROR(VLOOKUP($A50,Race_2024!A:L, 7,FALSE),0)</f>
        <v>-58097.097999999998</v>
      </c>
      <c r="E50" s="536">
        <f>IFERROR(VLOOKUP($A50,Race_2024!A:L, 9,FALSE),0)</f>
        <v>0</v>
      </c>
      <c r="F50" s="536">
        <f>IFERROR(VLOOKUP($A50,Race_2024!A:L, 8,FALSE),0)</f>
        <v>168293.54</v>
      </c>
      <c r="G50" s="536">
        <f>IFERROR(VLOOKUP($A50,Race_2024!A:L, 10,FALSE),0)</f>
        <v>285408.717</v>
      </c>
      <c r="H50" s="536">
        <f>IFERROR(VLOOKUP($A50,Race_2024!A:L, 11,FALSE),0)</f>
        <v>280182.859</v>
      </c>
      <c r="I50" s="535">
        <f>IFERROR(VLOOKUP($A50,Race_2024!A:L, 12,FALSE),0)</f>
        <v>0</v>
      </c>
      <c r="J50" s="542"/>
      <c r="K50" s="532"/>
    </row>
    <row r="51" spans="1:11" ht="15" x14ac:dyDescent="0.25">
      <c r="A51" s="534" t="s">
        <v>827</v>
      </c>
      <c r="B51" s="534" t="str">
        <f>IFERROR(VLOOKUP(A51,Race_2024!A:C,3,FALSE), VLOOKUP(A51,Race_2024!A:C,3,FALSE))</f>
        <v>Var. to freight</v>
      </c>
      <c r="C51" s="551" t="s">
        <v>828</v>
      </c>
      <c r="D51" s="536">
        <f>IFERROR(VLOOKUP($A51,Race_2024!A:L, 7,FALSE),0)</f>
        <v>-67768.86</v>
      </c>
      <c r="E51" s="536">
        <f>IFERROR(VLOOKUP($A51,Race_2024!A:L, 9,FALSE),0)</f>
        <v>0</v>
      </c>
      <c r="F51" s="536">
        <f>IFERROR(VLOOKUP($A51,Race_2024!A:L, 8,FALSE),0)</f>
        <v>18473.034</v>
      </c>
      <c r="G51" s="536">
        <f>IFERROR(VLOOKUP($A51,Race_2024!A:L, 10,FALSE),0)</f>
        <v>25317.616999999998</v>
      </c>
      <c r="H51" s="536">
        <f>IFERROR(VLOOKUP($A51,Race_2024!A:L, 11,FALSE),0)</f>
        <v>-93204.588000000003</v>
      </c>
      <c r="I51" s="535">
        <f>IFERROR(VLOOKUP($A51,Race_2024!A:L, 12,FALSE),0)</f>
        <v>0</v>
      </c>
      <c r="J51" s="542"/>
      <c r="K51" s="532"/>
    </row>
    <row r="52" spans="1:11" ht="15" x14ac:dyDescent="0.25">
      <c r="A52" s="534" t="s">
        <v>829</v>
      </c>
      <c r="B52" s="534" t="str">
        <f>IFERROR(VLOOKUP(A52,Race_2024!A:C,3,FALSE), VLOOKUP(A52,Race_2024!A:C,3,FALSE))</f>
        <v>Other cost var.</v>
      </c>
      <c r="C52" s="551" t="s">
        <v>830</v>
      </c>
      <c r="D52" s="536">
        <f>IFERROR(VLOOKUP($A52,Race_2024!A:L, 7,FALSE),0)</f>
        <v>0</v>
      </c>
      <c r="E52" s="536">
        <f>IFERROR(VLOOKUP($A52,Race_2024!A:L, 9,FALSE),0)</f>
        <v>0</v>
      </c>
      <c r="F52" s="536">
        <f>IFERROR(VLOOKUP($A52,Race_2024!A:L, 8,FALSE),0)</f>
        <v>0</v>
      </c>
      <c r="G52" s="536">
        <f>IFERROR(VLOOKUP($A52,Race_2024!A:L, 10,FALSE),0)</f>
        <v>-5092</v>
      </c>
      <c r="H52" s="536">
        <f>IFERROR(VLOOKUP($A52,Race_2024!A:L, 11,FALSE),0)</f>
        <v>-7680.5050000000001</v>
      </c>
      <c r="I52" s="535">
        <f>IFERROR(VLOOKUP($A52,Race_2024!A:L, 12,FALSE),0)</f>
        <v>0</v>
      </c>
      <c r="J52" s="542"/>
      <c r="K52" s="532"/>
    </row>
    <row r="53" spans="1:11" ht="15" x14ac:dyDescent="0.25">
      <c r="A53" s="603" t="s">
        <v>831</v>
      </c>
      <c r="B53" s="534" t="str">
        <f>IFERROR(VLOOKUP(A53,Race_2024!A:C,3,FALSE), VLOOKUP(A53,Race_2024!A:C,3,FALSE))</f>
        <v>MC after variations</v>
      </c>
      <c r="C53" s="604" t="s">
        <v>832</v>
      </c>
      <c r="D53" s="556">
        <f>IFERROR(VLOOKUP($A53,Race_2024!A:L, 7,FALSE),0)</f>
        <v>2448460.4819999998</v>
      </c>
      <c r="E53" s="556">
        <f>IFERROR(VLOOKUP($A53,Race_2024!A:L, 9,FALSE),0)</f>
        <v>3340438.3050000002</v>
      </c>
      <c r="F53" s="556">
        <f>IFERROR(VLOOKUP($A53,Race_2024!A:L, 8,FALSE),0)</f>
        <v>2168972.8849999998</v>
      </c>
      <c r="G53" s="556">
        <f>IFERROR(VLOOKUP($A53,Race_2024!A:L, 10,FALSE),0)</f>
        <v>6036489.2189999996</v>
      </c>
      <c r="H53" s="556">
        <f>IFERROR(VLOOKUP($A53,Race_2024!A:L, 11,FALSE),0)</f>
        <v>5643511.5630000001</v>
      </c>
      <c r="I53" s="555">
        <f>IFERROR(VLOOKUP($A53,Race_2024!A:L, 12,FALSE),0)</f>
        <v>7021047.449</v>
      </c>
      <c r="J53" s="542"/>
      <c r="K53" s="532"/>
    </row>
    <row r="54" spans="1:11" ht="15" x14ac:dyDescent="0.25">
      <c r="A54" s="534" t="s">
        <v>833</v>
      </c>
      <c r="B54" s="534" t="str">
        <f>IFERROR(VLOOKUP(A54,Race_2024!A:C,3,FALSE), VLOOKUP(A54,Race_2024!A:C,3,FALSE))</f>
        <v>Prod.&amp;mat.mgmt.exp.</v>
      </c>
      <c r="C54" s="540" t="s">
        <v>834</v>
      </c>
      <c r="D54" s="539">
        <f>IFERROR(VLOOKUP($A54,Race_2024!A:L, 7,FALSE),0)</f>
        <v>-1578192.7209999999</v>
      </c>
      <c r="E54" s="539">
        <f>IFERROR(VLOOKUP($A54,Race_2024!A:L, 9,FALSE),0)</f>
        <v>-1888280.084</v>
      </c>
      <c r="F54" s="539">
        <f>IFERROR(VLOOKUP($A54,Race_2024!A:L, 8,FALSE),0)</f>
        <v>-957469.42099999997</v>
      </c>
      <c r="G54" s="539">
        <f>IFERROR(VLOOKUP($A54,Race_2024!A:L, 10,FALSE),0)</f>
        <v>-1889872.382</v>
      </c>
      <c r="H54" s="539">
        <f>IFERROR(VLOOKUP($A54,Race_2024!A:L, 11,FALSE),0)</f>
        <v>-1935025.879</v>
      </c>
      <c r="I54" s="538">
        <f>IFERROR(VLOOKUP($A54,Race_2024!A:L, 12,FALSE),0)</f>
        <v>-2607372.6719999998</v>
      </c>
      <c r="J54" s="542"/>
      <c r="K54" s="532"/>
    </row>
    <row r="55" spans="1:11" ht="15" x14ac:dyDescent="0.25">
      <c r="A55" s="534" t="s">
        <v>835</v>
      </c>
      <c r="B55" s="534" t="str">
        <f>IFERROR(VLOOKUP(A55,Race_2024!A:C,3,FALSE), VLOOKUP(A55,Race_2024!A:C,3,FALSE))</f>
        <v>PE production</v>
      </c>
      <c r="C55" s="537" t="s">
        <v>836</v>
      </c>
      <c r="D55" s="536">
        <f>IFERROR(VLOOKUP($A55,Race_2024!A:L, 7,FALSE),0)</f>
        <v>-659607.81700000004</v>
      </c>
      <c r="E55" s="536">
        <f>IFERROR(VLOOKUP($A55,Race_2024!A:L, 9,FALSE),0)</f>
        <v>-902788.272</v>
      </c>
      <c r="F55" s="536">
        <f>IFERROR(VLOOKUP($A55,Race_2024!A:L, 8,FALSE),0)</f>
        <v>-543488.67200000002</v>
      </c>
      <c r="G55" s="536">
        <f>IFERROR(VLOOKUP($A55,Race_2024!A:L, 10,FALSE),0)</f>
        <v>-983938.84199999995</v>
      </c>
      <c r="H55" s="536">
        <f>IFERROR(VLOOKUP($A55,Race_2024!A:L, 11,FALSE),0)</f>
        <v>-1031451.197</v>
      </c>
      <c r="I55" s="535">
        <f>IFERROR(VLOOKUP($A55,Race_2024!A:L, 12,FALSE),0)</f>
        <v>-1855018.878</v>
      </c>
      <c r="J55" s="542"/>
      <c r="K55" s="532"/>
    </row>
    <row r="56" spans="1:11" ht="15" x14ac:dyDescent="0.25">
      <c r="A56" s="534" t="s">
        <v>837</v>
      </c>
      <c r="B56" s="534" t="str">
        <f>IFERROR(VLOOKUP(A56,Race_2024!A:C,3,FALSE), VLOOKUP(A56,Race_2024!A:C,3,FALSE))</f>
        <v>PE mat. management</v>
      </c>
      <c r="C56" s="537" t="s">
        <v>838</v>
      </c>
      <c r="D56" s="536">
        <f>IFERROR(VLOOKUP($A56,Race_2024!A:L, 7,FALSE),0)</f>
        <v>-146783.489</v>
      </c>
      <c r="E56" s="536">
        <f>IFERROR(VLOOKUP($A56,Race_2024!A:L, 9,FALSE),0)</f>
        <v>-260283.943</v>
      </c>
      <c r="F56" s="536">
        <f>IFERROR(VLOOKUP($A56,Race_2024!A:L, 8,FALSE),0)</f>
        <v>-134705.35399999999</v>
      </c>
      <c r="G56" s="536">
        <f>IFERROR(VLOOKUP($A56,Race_2024!A:L, 10,FALSE),0)</f>
        <v>-316068.67099999997</v>
      </c>
      <c r="H56" s="536">
        <f>IFERROR(VLOOKUP($A56,Race_2024!A:L, 11,FALSE),0)</f>
        <v>-315612.56900000002</v>
      </c>
      <c r="I56" s="535">
        <f>IFERROR(VLOOKUP($A56,Race_2024!A:L, 12,FALSE),0)</f>
        <v>-318502.27500000002</v>
      </c>
      <c r="J56" s="542"/>
      <c r="K56" s="532"/>
    </row>
    <row r="57" spans="1:11" ht="15" x14ac:dyDescent="0.25">
      <c r="A57" s="534" t="s">
        <v>839</v>
      </c>
      <c r="B57" s="534" t="str">
        <f>IFERROR(VLOOKUP(A57,Race_2024!A:C,3,FALSE), VLOOKUP(A57,Race_2024!A:C,3,FALSE))</f>
        <v>PE plant admin.</v>
      </c>
      <c r="C57" s="537" t="s">
        <v>840</v>
      </c>
      <c r="D57" s="536">
        <f>IFERROR(VLOOKUP($A57,Race_2024!A:L, 7,FALSE),0)</f>
        <v>-377198.26500000001</v>
      </c>
      <c r="E57" s="536">
        <f>IFERROR(VLOOKUP($A57,Race_2024!A:L, 9,FALSE),0)</f>
        <v>-296936.239</v>
      </c>
      <c r="F57" s="536">
        <f>IFERROR(VLOOKUP($A57,Race_2024!A:L, 8,FALSE),0)</f>
        <v>-141209.90900000001</v>
      </c>
      <c r="G57" s="536">
        <f>IFERROR(VLOOKUP($A57,Race_2024!A:L, 10,FALSE),0)</f>
        <v>-291051.01299999998</v>
      </c>
      <c r="H57" s="536">
        <f>IFERROR(VLOOKUP($A57,Race_2024!A:L, 11,FALSE),0)</f>
        <v>-289148.25699999998</v>
      </c>
      <c r="I57" s="535">
        <f>IFERROR(VLOOKUP($A57,Race_2024!A:L, 12,FALSE),0)</f>
        <v>-246209.06200000001</v>
      </c>
      <c r="J57" s="542"/>
      <c r="K57" s="532"/>
    </row>
    <row r="58" spans="1:11" ht="15" x14ac:dyDescent="0.25">
      <c r="A58" s="534" t="s">
        <v>841</v>
      </c>
      <c r="B58" s="534" t="str">
        <f>IFERROR(VLOOKUP(A58,Race_2024!A:C,3,FALSE), VLOOKUP(A58,Race_2024!A:C,3,FALSE))</f>
        <v>Period expenses ICO</v>
      </c>
      <c r="C58" s="537" t="s">
        <v>461</v>
      </c>
      <c r="D58" s="536">
        <f>IFERROR(VLOOKUP($A58,Race_2024!A:L, 7,FALSE),0)</f>
        <v>-394603.15</v>
      </c>
      <c r="E58" s="536">
        <f>IFERROR(VLOOKUP($A58,Race_2024!A:L, 9,FALSE),0)</f>
        <v>-428271.63</v>
      </c>
      <c r="F58" s="536">
        <f>IFERROR(VLOOKUP($A58,Race_2024!A:L, 8,FALSE),0)</f>
        <v>-138065.486</v>
      </c>
      <c r="G58" s="536">
        <f>IFERROR(VLOOKUP($A58,Race_2024!A:L, 10,FALSE),0)</f>
        <v>-298813.85600000003</v>
      </c>
      <c r="H58" s="536">
        <f>IFERROR(VLOOKUP($A58,Race_2024!A:L, 11,FALSE),0)</f>
        <v>-298813.85600000003</v>
      </c>
      <c r="I58" s="535">
        <f>IFERROR(VLOOKUP($A58,Race_2024!A:L, 12,FALSE),0)</f>
        <v>-187642.45699999999</v>
      </c>
      <c r="J58" s="542"/>
      <c r="K58" s="532"/>
    </row>
    <row r="59" spans="1:11" ht="15" x14ac:dyDescent="0.25">
      <c r="A59" s="534" t="s">
        <v>842</v>
      </c>
      <c r="B59" s="534" t="e">
        <f>IFERROR(VLOOKUP(A59,Race_2024!A:C,3,FALSE), VLOOKUP(A59,Race_2024!A:C,3,FALSE))</f>
        <v>#N/A</v>
      </c>
      <c r="C59" s="544" t="s">
        <v>843</v>
      </c>
      <c r="D59" s="536">
        <f>IFERROR(VLOOKUP($A59,Race_2024!A:L, 7,FALSE),0)</f>
        <v>0</v>
      </c>
      <c r="E59" s="536">
        <f>IFERROR(VLOOKUP($A59,Race_2024!A:L, 9,FALSE),0)</f>
        <v>0</v>
      </c>
      <c r="F59" s="536">
        <f>IFERROR(VLOOKUP($A59,Race_2024!A:L, 8,FALSE),0)</f>
        <v>0</v>
      </c>
      <c r="G59" s="536">
        <f>IFERROR(VLOOKUP($A59,Race_2024!A:L, 10,FALSE),0)</f>
        <v>0</v>
      </c>
      <c r="H59" s="536">
        <f>IFERROR(VLOOKUP($A59,Race_2024!A:L, 11,FALSE),0)</f>
        <v>0</v>
      </c>
      <c r="I59" s="535">
        <f>IFERROR(VLOOKUP($A59,Race_2024!A:L, 12,FALSE),0)</f>
        <v>0</v>
      </c>
      <c r="J59" s="542"/>
      <c r="K59" s="532"/>
    </row>
    <row r="60" spans="1:11" ht="15" x14ac:dyDescent="0.25">
      <c r="A60" s="534" t="s">
        <v>844</v>
      </c>
      <c r="B60" s="534" t="str">
        <f>IFERROR(VLOOKUP(A60,Race_2024!A:C,3,FALSE), VLOOKUP(A60,Race_2024!A:C,3,FALSE))</f>
        <v>Gross margin adj.</v>
      </c>
      <c r="C60" s="540" t="s">
        <v>845</v>
      </c>
      <c r="D60" s="539">
        <f>IFERROR(VLOOKUP($A60,Race_2024!A:L, 7,FALSE),0)</f>
        <v>147600.30799999999</v>
      </c>
      <c r="E60" s="539">
        <f>IFERROR(VLOOKUP($A60,Race_2024!A:L, 9,FALSE),0)</f>
        <v>0</v>
      </c>
      <c r="F60" s="539">
        <f>IFERROR(VLOOKUP($A60,Race_2024!A:L, 8,FALSE),0)</f>
        <v>-95819.921000000002</v>
      </c>
      <c r="G60" s="539">
        <f>IFERROR(VLOOKUP($A60,Race_2024!A:L, 10,FALSE),0)</f>
        <v>-109006.247</v>
      </c>
      <c r="H60" s="538">
        <f>IFERROR(VLOOKUP($A60,Race_2024!A:L, 11,FALSE),0)</f>
        <v>-109006.247</v>
      </c>
      <c r="I60" s="538">
        <f>IFERROR(VLOOKUP($A60,Race_2024!A:L, 12,FALSE),0)</f>
        <v>0</v>
      </c>
      <c r="J60" s="542"/>
      <c r="K60" s="532"/>
    </row>
    <row r="61" spans="1:11" ht="15" x14ac:dyDescent="0.25">
      <c r="A61" s="534" t="s">
        <v>846</v>
      </c>
      <c r="B61" s="534" t="e">
        <f>IFERROR(VLOOKUP(A61,Race_2024!A:C,3,FALSE), VLOOKUP(A61,Race_2024!A:C,3,FALSE))</f>
        <v>#N/A</v>
      </c>
      <c r="C61" s="537" t="s">
        <v>847</v>
      </c>
      <c r="D61" s="536">
        <f>IFERROR(VLOOKUP($A61,Race_2024!A:L, 7,FALSE),0)</f>
        <v>0</v>
      </c>
      <c r="E61" s="536">
        <f>IFERROR(VLOOKUP($A61,Race_2024!A:L, 9,FALSE),0)</f>
        <v>0</v>
      </c>
      <c r="F61" s="536">
        <f>IFERROR(VLOOKUP($A61,Race_2024!A:L, 8,FALSE),0)</f>
        <v>0</v>
      </c>
      <c r="G61" s="536">
        <f>IFERROR(VLOOKUP($A61,Race_2024!A:L, 10,FALSE),0)</f>
        <v>0</v>
      </c>
      <c r="H61" s="536">
        <f>IFERROR(VLOOKUP($A61,Race_2024!A:L, 11,FALSE),0)</f>
        <v>0</v>
      </c>
      <c r="I61" s="535">
        <f>IFERROR(VLOOKUP($A61,Race_2024!A:L, 12,FALSE),0)</f>
        <v>0</v>
      </c>
      <c r="J61" s="542"/>
      <c r="K61" s="532"/>
    </row>
    <row r="62" spans="1:11" ht="15" x14ac:dyDescent="0.25">
      <c r="A62" s="534" t="s">
        <v>848</v>
      </c>
      <c r="B62" s="534" t="str">
        <f>IFERROR(VLOOKUP(A62,Race_2024!A:C,3,FALSE), VLOOKUP(A62,Race_2024!A:C,3,FALSE))</f>
        <v>Inv.val.allow.fin.g.</v>
      </c>
      <c r="C62" s="537" t="s">
        <v>849</v>
      </c>
      <c r="D62" s="536">
        <f>IFERROR(VLOOKUP($A62,Race_2024!A:L, 7,FALSE),0)</f>
        <v>-5049.2929999999997</v>
      </c>
      <c r="E62" s="536">
        <f>IFERROR(VLOOKUP($A62,Race_2024!A:L, 9,FALSE),0)</f>
        <v>0</v>
      </c>
      <c r="F62" s="536">
        <f>IFERROR(VLOOKUP($A62,Race_2024!A:L, 8,FALSE),0)</f>
        <v>41998.599000000002</v>
      </c>
      <c r="G62" s="536">
        <f>IFERROR(VLOOKUP($A62,Race_2024!A:L, 10,FALSE),0)</f>
        <v>9673.3649999999998</v>
      </c>
      <c r="H62" s="536">
        <f>IFERROR(VLOOKUP($A62,Race_2024!A:L, 11,FALSE),0)</f>
        <v>9673.3649999999998</v>
      </c>
      <c r="I62" s="535">
        <f>IFERROR(VLOOKUP($A62,Race_2024!A:L, 12,FALSE),0)</f>
        <v>0</v>
      </c>
      <c r="J62" s="542"/>
      <c r="K62" s="532"/>
    </row>
    <row r="63" spans="1:11" ht="15" x14ac:dyDescent="0.25">
      <c r="A63" s="534" t="s">
        <v>850</v>
      </c>
      <c r="B63" s="534" t="str">
        <f>IFERROR(VLOOKUP(A63,Race_2024!A:C,3,FALSE), VLOOKUP(A63,Race_2024!A:C,3,FALSE))</f>
        <v>Inv.val.allow.fin.g.</v>
      </c>
      <c r="C63" s="544" t="s">
        <v>849</v>
      </c>
      <c r="D63" s="536">
        <f>IFERROR(VLOOKUP($A63,Race_2024!A:L, 7,FALSE),0)</f>
        <v>152649.601</v>
      </c>
      <c r="E63" s="536">
        <f>IFERROR(VLOOKUP($A63,Race_2024!A:L, 9,FALSE),0)</f>
        <v>0</v>
      </c>
      <c r="F63" s="536">
        <f>IFERROR(VLOOKUP($A63,Race_2024!A:L, 8,FALSE),0)</f>
        <v>-137818.51999999999</v>
      </c>
      <c r="G63" s="536">
        <f>IFERROR(VLOOKUP($A63,Race_2024!A:L, 10,FALSE),0)</f>
        <v>-118679.61199999999</v>
      </c>
      <c r="H63" s="536">
        <f>IFERROR(VLOOKUP($A63,Race_2024!A:L, 11,FALSE),0)</f>
        <v>-118679.61199999999</v>
      </c>
      <c r="I63" s="549">
        <f>IFERROR(VLOOKUP($A63,Race_2024!A:L, 12,FALSE),0)</f>
        <v>0</v>
      </c>
      <c r="J63" s="542"/>
      <c r="K63" s="532"/>
    </row>
    <row r="64" spans="1:11" ht="15" x14ac:dyDescent="0.25">
      <c r="A64" s="603" t="s">
        <v>851</v>
      </c>
      <c r="B64" s="534" t="str">
        <f>IFERROR(VLOOKUP(A64,Race_2024!A:C,3,FALSE), VLOOKUP(A64,Race_2024!A:C,3,FALSE))</f>
        <v>Gross margin</v>
      </c>
      <c r="C64" s="604" t="s">
        <v>852</v>
      </c>
      <c r="D64" s="556">
        <f>IFERROR(VLOOKUP($A64,Race_2024!A:L, 7,FALSE),0)</f>
        <v>1017868.069</v>
      </c>
      <c r="E64" s="556">
        <f>IFERROR(VLOOKUP($A64,Race_2024!A:L, 9,FALSE),0)</f>
        <v>1452158.2209999999</v>
      </c>
      <c r="F64" s="556">
        <f>IFERROR(VLOOKUP($A64,Race_2024!A:L, 8,FALSE),0)</f>
        <v>1115683.5430000001</v>
      </c>
      <c r="G64" s="556">
        <f>IFERROR(VLOOKUP($A64,Race_2024!A:L, 10,FALSE),0)</f>
        <v>4037610.59</v>
      </c>
      <c r="H64" s="556">
        <f>IFERROR(VLOOKUP($A64,Race_2024!A:L, 11,FALSE),0)</f>
        <v>3599479.4369999999</v>
      </c>
      <c r="I64" s="555">
        <f>IFERROR(VLOOKUP($A64,Race_2024!A:L, 12,FALSE),0)</f>
        <v>4413674.7769999998</v>
      </c>
      <c r="J64" s="542"/>
      <c r="K64" s="532"/>
    </row>
    <row r="65" spans="1:11" ht="15" x14ac:dyDescent="0.25">
      <c r="A65" s="534" t="s">
        <v>853</v>
      </c>
      <c r="B65" s="534" t="str">
        <f>IFERROR(VLOOKUP(A65,Race_2024!A:C,3,FALSE), VLOOKUP(A65,Race_2024!A:C,3,FALSE))</f>
        <v>R, D &amp; E expenses</v>
      </c>
      <c r="C65" s="540" t="s">
        <v>854</v>
      </c>
      <c r="D65" s="539">
        <f>IFERROR(VLOOKUP($A65,Race_2024!A:L, 7,FALSE),0)</f>
        <v>-1178724.2919999999</v>
      </c>
      <c r="E65" s="539">
        <f>IFERROR(VLOOKUP($A65,Race_2024!A:L, 9,FALSE),0)</f>
        <v>-1463656.352</v>
      </c>
      <c r="F65" s="539">
        <f>IFERROR(VLOOKUP($A65,Race_2024!A:L, 8,FALSE),0)</f>
        <v>-604405.44400000002</v>
      </c>
      <c r="G65" s="539">
        <f>IFERROR(VLOOKUP($A65,Race_2024!A:L, 10,FALSE),0)</f>
        <v>-1345555.0919999999</v>
      </c>
      <c r="H65" s="539">
        <f>IFERROR(VLOOKUP($A65,Race_2024!A:L, 11,FALSE),0)</f>
        <v>-1345555.0919999999</v>
      </c>
      <c r="I65" s="538">
        <f>IFERROR(VLOOKUP($A65,Race_2024!A:L, 12,FALSE),0)</f>
        <v>-1813597.7879999999</v>
      </c>
      <c r="J65" s="542"/>
      <c r="K65" s="532"/>
    </row>
    <row r="66" spans="1:11" ht="15" x14ac:dyDescent="0.25">
      <c r="A66" s="534" t="s">
        <v>855</v>
      </c>
      <c r="B66" s="534" t="e">
        <f>IFERROR(VLOOKUP(A66,Race_2024!A:C,3,FALSE), VLOOKUP(A66,Race_2024!A:C,3,FALSE))</f>
        <v>#N/A</v>
      </c>
      <c r="C66" s="548" t="s">
        <v>856</v>
      </c>
      <c r="D66" s="547">
        <f>IFERROR(VLOOKUP($A66,Race_2024!A:L, 7,FALSE),0)</f>
        <v>0</v>
      </c>
      <c r="E66" s="547">
        <f>IFERROR(VLOOKUP($A66,Race_2024!A:L, 9,FALSE),0)</f>
        <v>0</v>
      </c>
      <c r="F66" s="547">
        <f>IFERROR(VLOOKUP($A66,Race_2024!A:L, 8,FALSE),0)</f>
        <v>0</v>
      </c>
      <c r="G66" s="547">
        <f>IFERROR(VLOOKUP($A66,Race_2024!A:L, 10,FALSE),0)</f>
        <v>0</v>
      </c>
      <c r="H66" s="547">
        <f>IFERROR(VLOOKUP($A66,Race_2024!A:L, 11,FALSE),0)</f>
        <v>0</v>
      </c>
      <c r="I66" s="550">
        <f>IFERROR(VLOOKUP($A66,Race_2024!A:L, 12,FALSE),0)</f>
        <v>0</v>
      </c>
      <c r="J66" s="542"/>
      <c r="K66" s="532"/>
    </row>
    <row r="67" spans="1:11" ht="15" x14ac:dyDescent="0.25">
      <c r="A67" s="534" t="s">
        <v>857</v>
      </c>
      <c r="B67" s="534" t="e">
        <f>IFERROR(VLOOKUP(A67,Race_2024!A:C,3,FALSE), VLOOKUP(A67,Race_2024!A:C,3,FALSE))</f>
        <v>#N/A</v>
      </c>
      <c r="C67" s="541" t="s">
        <v>858</v>
      </c>
      <c r="D67" s="536">
        <f>IFERROR(VLOOKUP($A67,Race_2024!A:L, 7,FALSE),0)</f>
        <v>0</v>
      </c>
      <c r="E67" s="536">
        <f>IFERROR(VLOOKUP($A67,Race_2024!A:L, 9,FALSE),0)</f>
        <v>0</v>
      </c>
      <c r="F67" s="536">
        <f>IFERROR(VLOOKUP($A67,Race_2024!A:L, 8,FALSE),0)</f>
        <v>0</v>
      </c>
      <c r="G67" s="536">
        <f>IFERROR(VLOOKUP($A67,Race_2024!A:L, 10,FALSE),0)</f>
        <v>0</v>
      </c>
      <c r="H67" s="536">
        <f>IFERROR(VLOOKUP($A67,Race_2024!A:L, 11,FALSE),0)</f>
        <v>0</v>
      </c>
      <c r="I67" s="535">
        <f>IFERROR(VLOOKUP($A67,Race_2024!A:L, 12,FALSE),0)</f>
        <v>0</v>
      </c>
      <c r="J67" s="542"/>
      <c r="K67" s="532"/>
    </row>
    <row r="68" spans="1:11" ht="15" x14ac:dyDescent="0.25">
      <c r="A68" s="534" t="s">
        <v>859</v>
      </c>
      <c r="B68" s="534" t="e">
        <f>IFERROR(VLOOKUP(A68,Race_2024!A:C,3,FALSE), VLOOKUP(A68,Race_2024!A:C,3,FALSE))</f>
        <v>#N/A</v>
      </c>
      <c r="C68" s="541" t="s">
        <v>860</v>
      </c>
      <c r="D68" s="536">
        <f>IFERROR(VLOOKUP($A68,Race_2024!A:L, 7,FALSE),0)</f>
        <v>0</v>
      </c>
      <c r="E68" s="536">
        <f>IFERROR(VLOOKUP($A68,Race_2024!A:L, 9,FALSE),0)</f>
        <v>0</v>
      </c>
      <c r="F68" s="536">
        <f>IFERROR(VLOOKUP($A68,Race_2024!A:L, 8,FALSE),0)</f>
        <v>0</v>
      </c>
      <c r="G68" s="536">
        <f>IFERROR(VLOOKUP($A68,Race_2024!A:L, 10,FALSE),0)</f>
        <v>0</v>
      </c>
      <c r="H68" s="536">
        <f>IFERROR(VLOOKUP($A68,Race_2024!A:L, 11,FALSE),0)</f>
        <v>0</v>
      </c>
      <c r="I68" s="535">
        <f>IFERROR(VLOOKUP($A68,Race_2024!A:L, 12,FALSE),0)</f>
        <v>0</v>
      </c>
      <c r="J68" s="542"/>
      <c r="K68" s="532"/>
    </row>
    <row r="69" spans="1:11" ht="15" x14ac:dyDescent="0.25">
      <c r="A69" s="534" t="s">
        <v>861</v>
      </c>
      <c r="B69" s="534" t="e">
        <f>IFERROR(VLOOKUP(A69,Race_2024!A:C,3,FALSE), VLOOKUP(A69,Race_2024!A:C,3,FALSE))</f>
        <v>#N/A</v>
      </c>
      <c r="C69" s="548" t="s">
        <v>862</v>
      </c>
      <c r="D69" s="547">
        <f>IFERROR(VLOOKUP($A69,Race_2024!A:L, 7,FALSE),0)</f>
        <v>0</v>
      </c>
      <c r="E69" s="547">
        <f>IFERROR(VLOOKUP($A69,Race_2024!A:L, 9,FALSE),0)</f>
        <v>0</v>
      </c>
      <c r="F69" s="546">
        <f>IFERROR(VLOOKUP($A69,Race_2024!A:L, 8,FALSE),0)</f>
        <v>0</v>
      </c>
      <c r="G69" s="546">
        <f>IFERROR(VLOOKUP($A69,Race_2024!A:L, 10,FALSE),0)</f>
        <v>0</v>
      </c>
      <c r="H69" s="546">
        <f>IFERROR(VLOOKUP($A69,Race_2024!A:L, 11,FALSE),0)</f>
        <v>0</v>
      </c>
      <c r="I69" s="545">
        <f>IFERROR(VLOOKUP($A69,Race_2024!A:L, 12,FALSE),0)</f>
        <v>0</v>
      </c>
      <c r="J69" s="542"/>
      <c r="K69" s="532"/>
    </row>
    <row r="70" spans="1:11" ht="15" x14ac:dyDescent="0.25">
      <c r="A70" s="534" t="s">
        <v>863</v>
      </c>
      <c r="B70" s="534" t="e">
        <f>IFERROR(VLOOKUP(A70,Race_2024!A:C,3,FALSE), VLOOKUP(A70,Race_2024!A:C,3,FALSE))</f>
        <v>#N/A</v>
      </c>
      <c r="C70" s="541" t="s">
        <v>864</v>
      </c>
      <c r="D70" s="536">
        <f>IFERROR(VLOOKUP($A70,Race_2024!A:L, 7,FALSE),0)</f>
        <v>0</v>
      </c>
      <c r="E70" s="536">
        <f>IFERROR(VLOOKUP($A70,Race_2024!A:L, 9,FALSE),0)</f>
        <v>0</v>
      </c>
      <c r="F70" s="536">
        <f>IFERROR(VLOOKUP($A70,Race_2024!A:L, 8,FALSE),0)</f>
        <v>0</v>
      </c>
      <c r="G70" s="536">
        <f>IFERROR(VLOOKUP($A70,Race_2024!A:L, 10,FALSE),0)</f>
        <v>0</v>
      </c>
      <c r="H70" s="536">
        <f>IFERROR(VLOOKUP($A70,Race_2024!A:L, 11,FALSE),0)</f>
        <v>0</v>
      </c>
      <c r="I70" s="535">
        <f>IFERROR(VLOOKUP($A70,Race_2024!A:L, 12,FALSE),0)</f>
        <v>0</v>
      </c>
      <c r="J70" s="542"/>
      <c r="K70" s="532"/>
    </row>
    <row r="71" spans="1:11" ht="15" x14ac:dyDescent="0.25">
      <c r="A71" s="534" t="s">
        <v>865</v>
      </c>
      <c r="B71" s="534" t="e">
        <f>IFERROR(VLOOKUP(A71,Race_2024!A:C,3,FALSE), VLOOKUP(A71,Race_2024!A:C,3,FALSE))</f>
        <v>#N/A</v>
      </c>
      <c r="C71" s="541" t="s">
        <v>866</v>
      </c>
      <c r="D71" s="536">
        <f>IFERROR(VLOOKUP($A71,Race_2024!A:L, 7,FALSE),0)</f>
        <v>0</v>
      </c>
      <c r="E71" s="536">
        <f>IFERROR(VLOOKUP($A71,Race_2024!A:L, 9,FALSE),0)</f>
        <v>0</v>
      </c>
      <c r="F71" s="536">
        <f>IFERROR(VLOOKUP($A71,Race_2024!A:L, 8,FALSE),0)</f>
        <v>0</v>
      </c>
      <c r="G71" s="536">
        <f>IFERROR(VLOOKUP($A71,Race_2024!A:L, 10,FALSE),0)</f>
        <v>0</v>
      </c>
      <c r="H71" s="536">
        <f>IFERROR(VLOOKUP($A71,Race_2024!A:L, 11,FALSE),0)</f>
        <v>0</v>
      </c>
      <c r="I71" s="535">
        <f>IFERROR(VLOOKUP($A71,Race_2024!A:L, 12,FALSE),0)</f>
        <v>0</v>
      </c>
      <c r="J71" s="542"/>
      <c r="K71" s="532"/>
    </row>
    <row r="72" spans="1:11" ht="15" x14ac:dyDescent="0.25">
      <c r="A72" s="534" t="s">
        <v>867</v>
      </c>
      <c r="B72" s="534" t="e">
        <f>IFERROR(VLOOKUP(A72,Race_2024!A:C,3,FALSE), VLOOKUP(A72,Race_2024!A:C,3,FALSE))</f>
        <v>#N/A</v>
      </c>
      <c r="C72" s="548" t="s">
        <v>868</v>
      </c>
      <c r="D72" s="547">
        <f>IFERROR(VLOOKUP($A72,Race_2024!A:L, 7,FALSE),0)</f>
        <v>0</v>
      </c>
      <c r="E72" s="547">
        <f>IFERROR(VLOOKUP($A72,Race_2024!A:L, 9,FALSE),0)</f>
        <v>0</v>
      </c>
      <c r="F72" s="546">
        <f>IFERROR(VLOOKUP($A72,Race_2024!A:L, 8,FALSE),0)</f>
        <v>0</v>
      </c>
      <c r="G72" s="546">
        <f>IFERROR(VLOOKUP($A72,Race_2024!A:L, 10,FALSE),0)</f>
        <v>0</v>
      </c>
      <c r="H72" s="546">
        <f>IFERROR(VLOOKUP($A72,Race_2024!A:L, 11,FALSE),0)</f>
        <v>0</v>
      </c>
      <c r="I72" s="545">
        <f>IFERROR(VLOOKUP($A72,Race_2024!A:L, 12,FALSE),0)</f>
        <v>0</v>
      </c>
      <c r="J72" s="542"/>
      <c r="K72" s="532"/>
    </row>
    <row r="73" spans="1:11" ht="15" x14ac:dyDescent="0.25">
      <c r="A73" s="534" t="s">
        <v>869</v>
      </c>
      <c r="B73" s="534" t="e">
        <f>IFERROR(VLOOKUP(A73,Race_2024!A:C,3,FALSE), VLOOKUP(A73,Race_2024!A:C,3,FALSE))</f>
        <v>#N/A</v>
      </c>
      <c r="C73" s="541" t="s">
        <v>870</v>
      </c>
      <c r="D73" s="536">
        <f>IFERROR(VLOOKUP($A73,Race_2024!A:L, 7,FALSE),0)</f>
        <v>0</v>
      </c>
      <c r="E73" s="536">
        <f>IFERROR(VLOOKUP($A73,Race_2024!A:L, 9,FALSE),0)</f>
        <v>0</v>
      </c>
      <c r="F73" s="536">
        <f>IFERROR(VLOOKUP($A73,Race_2024!A:L, 8,FALSE),0)</f>
        <v>0</v>
      </c>
      <c r="G73" s="536">
        <f>IFERROR(VLOOKUP($A73,Race_2024!A:L, 10,FALSE),0)</f>
        <v>0</v>
      </c>
      <c r="H73" s="536">
        <f>IFERROR(VLOOKUP($A73,Race_2024!A:L, 11,FALSE),0)</f>
        <v>0</v>
      </c>
      <c r="I73" s="535">
        <f>IFERROR(VLOOKUP($A73,Race_2024!A:L, 12,FALSE),0)</f>
        <v>0</v>
      </c>
      <c r="J73" s="542"/>
      <c r="K73" s="532"/>
    </row>
    <row r="74" spans="1:11" ht="15" x14ac:dyDescent="0.25">
      <c r="A74" s="534" t="s">
        <v>871</v>
      </c>
      <c r="B74" s="534" t="e">
        <f>IFERROR(VLOOKUP(A74,Race_2024!A:C,3,FALSE), VLOOKUP(A74,Race_2024!A:C,3,FALSE))</f>
        <v>#N/A</v>
      </c>
      <c r="C74" s="541" t="s">
        <v>872</v>
      </c>
      <c r="D74" s="536">
        <f>IFERROR(VLOOKUP($A74,Race_2024!A:L, 7,FALSE),0)</f>
        <v>0</v>
      </c>
      <c r="E74" s="536">
        <f>IFERROR(VLOOKUP($A74,Race_2024!A:L, 9,FALSE),0)</f>
        <v>0</v>
      </c>
      <c r="F74" s="536">
        <f>IFERROR(VLOOKUP($A74,Race_2024!A:L, 8,FALSE),0)</f>
        <v>0</v>
      </c>
      <c r="G74" s="536">
        <f>IFERROR(VLOOKUP($A74,Race_2024!A:L, 10,FALSE),0)</f>
        <v>0</v>
      </c>
      <c r="H74" s="536">
        <f>IFERROR(VLOOKUP($A74,Race_2024!A:L, 11,FALSE),0)</f>
        <v>0</v>
      </c>
      <c r="I74" s="535">
        <f>IFERROR(VLOOKUP($A74,Race_2024!A:L, 12,FALSE),0)</f>
        <v>0</v>
      </c>
      <c r="J74" s="542"/>
      <c r="K74" s="532"/>
    </row>
    <row r="75" spans="1:11" ht="15" x14ac:dyDescent="0.25">
      <c r="A75" s="534" t="s">
        <v>873</v>
      </c>
      <c r="B75" s="534" t="e">
        <f>IFERROR(VLOOKUP(A75,Race_2024!A:C,3,FALSE), VLOOKUP(A75,Race_2024!A:C,3,FALSE))</f>
        <v>#N/A</v>
      </c>
      <c r="C75" s="548" t="s">
        <v>874</v>
      </c>
      <c r="D75" s="547">
        <f>IFERROR(VLOOKUP($A75,Race_2024!A:L, 7,FALSE),0)</f>
        <v>0</v>
      </c>
      <c r="E75" s="547">
        <f>IFERROR(VLOOKUP($A75,Race_2024!A:L, 9,FALSE),0)</f>
        <v>0</v>
      </c>
      <c r="F75" s="546">
        <f>IFERROR(VLOOKUP($A75,Race_2024!A:L, 8,FALSE),0)</f>
        <v>0</v>
      </c>
      <c r="G75" s="546">
        <f>IFERROR(VLOOKUP($A75,Race_2024!A:L, 10,FALSE),0)</f>
        <v>0</v>
      </c>
      <c r="H75" s="546">
        <f>IFERROR(VLOOKUP($A75,Race_2024!A:L, 11,FALSE),0)</f>
        <v>0</v>
      </c>
      <c r="I75" s="545">
        <f>IFERROR(VLOOKUP($A75,Race_2024!A:L, 12,FALSE),0)</f>
        <v>0</v>
      </c>
      <c r="J75" s="542"/>
      <c r="K75" s="532"/>
    </row>
    <row r="76" spans="1:11" ht="15" x14ac:dyDescent="0.25">
      <c r="A76" s="534" t="s">
        <v>875</v>
      </c>
      <c r="B76" s="534" t="e">
        <f>IFERROR(VLOOKUP(A76,Race_2024!A:C,3,FALSE), VLOOKUP(A76,Race_2024!A:C,3,FALSE))</f>
        <v>#N/A</v>
      </c>
      <c r="C76" s="541" t="s">
        <v>876</v>
      </c>
      <c r="D76" s="536">
        <f>IFERROR(VLOOKUP($A76,Race_2024!A:L, 7,FALSE),0)</f>
        <v>0</v>
      </c>
      <c r="E76" s="536">
        <f>IFERROR(VLOOKUP($A76,Race_2024!A:L, 9,FALSE),0)</f>
        <v>0</v>
      </c>
      <c r="F76" s="536">
        <f>IFERROR(VLOOKUP($A76,Race_2024!A:L, 8,FALSE),0)</f>
        <v>0</v>
      </c>
      <c r="G76" s="536">
        <f>IFERROR(VLOOKUP($A76,Race_2024!A:L, 10,FALSE),0)</f>
        <v>0</v>
      </c>
      <c r="H76" s="536">
        <f>IFERROR(VLOOKUP($A76,Race_2024!A:L, 11,FALSE),0)</f>
        <v>0</v>
      </c>
      <c r="I76" s="535">
        <f>IFERROR(VLOOKUP($A76,Race_2024!A:L, 12,FALSE),0)</f>
        <v>0</v>
      </c>
      <c r="J76" s="542"/>
      <c r="K76" s="532"/>
    </row>
    <row r="77" spans="1:11" ht="15" x14ac:dyDescent="0.25">
      <c r="A77" s="534" t="s">
        <v>877</v>
      </c>
      <c r="B77" s="534" t="str">
        <f>IFERROR(VLOOKUP(A77,Race_2024!A:C,3,FALSE), VLOOKUP(A77,Race_2024!A:C,3,FALSE))</f>
        <v>R,D&amp;E alloc. in</v>
      </c>
      <c r="C77" s="537" t="s">
        <v>878</v>
      </c>
      <c r="D77" s="536">
        <f>IFERROR(VLOOKUP($A77,Race_2024!A:L, 7,FALSE),0)</f>
        <v>-1178724.2919999999</v>
      </c>
      <c r="E77" s="536">
        <f>IFERROR(VLOOKUP($A77,Race_2024!A:L, 9,FALSE),0)</f>
        <v>-1463656.352</v>
      </c>
      <c r="F77" s="536">
        <f>IFERROR(VLOOKUP($A77,Race_2024!A:L, 8,FALSE),0)</f>
        <v>-770660.45600000001</v>
      </c>
      <c r="G77" s="536">
        <f>IFERROR(VLOOKUP($A77,Race_2024!A:L, 10,FALSE),0)</f>
        <v>-1511810.1040000001</v>
      </c>
      <c r="H77" s="536">
        <f>IFERROR(VLOOKUP($A77,Race_2024!A:L, 11,FALSE),0)</f>
        <v>-1511810.1040000001</v>
      </c>
      <c r="I77" s="535">
        <f>IFERROR(VLOOKUP($A77,Race_2024!A:L, 12,FALSE),0)</f>
        <v>-1813597.7879999999</v>
      </c>
      <c r="J77" s="542"/>
      <c r="K77" s="532"/>
    </row>
    <row r="78" spans="1:11" ht="15" x14ac:dyDescent="0.25">
      <c r="A78" s="534" t="s">
        <v>879</v>
      </c>
      <c r="B78" s="534" t="e">
        <f>IFERROR(VLOOKUP(A78,Race_2024!A:C,3,FALSE), VLOOKUP(A78,Race_2024!A:C,3,FALSE))</f>
        <v>#N/A</v>
      </c>
      <c r="C78" s="537" t="s">
        <v>880</v>
      </c>
      <c r="D78" s="536">
        <f>IFERROR(VLOOKUP($A78,Race_2024!A:L, 7,FALSE),0)</f>
        <v>0</v>
      </c>
      <c r="E78" s="536">
        <f>IFERROR(VLOOKUP($A78,Race_2024!A:L, 9,FALSE),0)</f>
        <v>0</v>
      </c>
      <c r="F78" s="536">
        <f>IFERROR(VLOOKUP($A78,Race_2024!A:L, 8,FALSE),0)</f>
        <v>0</v>
      </c>
      <c r="G78" s="536">
        <f>IFERROR(VLOOKUP($A78,Race_2024!A:L, 10,FALSE),0)</f>
        <v>0</v>
      </c>
      <c r="H78" s="536">
        <f>IFERROR(VLOOKUP($A78,Race_2024!A:L, 11,FALSE),0)</f>
        <v>0</v>
      </c>
      <c r="I78" s="535">
        <f>IFERROR(VLOOKUP($A78,Race_2024!A:L, 12,FALSE),0)</f>
        <v>0</v>
      </c>
      <c r="J78" s="542"/>
      <c r="K78" s="532"/>
    </row>
    <row r="79" spans="1:11" ht="15" x14ac:dyDescent="0.25">
      <c r="A79" s="534" t="s">
        <v>881</v>
      </c>
      <c r="B79" s="534" t="str">
        <f>IFERROR(VLOOKUP(A79,Race_2024!A:C,3,FALSE), VLOOKUP(A79,Race_2024!A:C,3,FALSE))</f>
        <v>R, D &amp; E prior year</v>
      </c>
      <c r="C79" s="537" t="s">
        <v>882</v>
      </c>
      <c r="D79" s="536">
        <f>IFERROR(VLOOKUP($A79,Race_2024!A:L, 7,FALSE),0)</f>
        <v>0</v>
      </c>
      <c r="E79" s="536">
        <f>IFERROR(VLOOKUP($A79,Race_2024!A:L, 9,FALSE),0)</f>
        <v>0</v>
      </c>
      <c r="F79" s="536">
        <f>IFERROR(VLOOKUP($A79,Race_2024!A:L, 8,FALSE),0)</f>
        <v>166255.01199999999</v>
      </c>
      <c r="G79" s="536">
        <f>IFERROR(VLOOKUP($A79,Race_2024!A:L, 10,FALSE),0)</f>
        <v>166255.01199999999</v>
      </c>
      <c r="H79" s="536">
        <f>IFERROR(VLOOKUP($A79,Race_2024!A:L, 11,FALSE),0)</f>
        <v>166255.01199999999</v>
      </c>
      <c r="I79" s="535">
        <f>IFERROR(VLOOKUP($A79,Race_2024!A:L, 12,FALSE),0)</f>
        <v>0</v>
      </c>
      <c r="J79" s="542"/>
      <c r="K79" s="532"/>
    </row>
    <row r="80" spans="1:11" ht="15" x14ac:dyDescent="0.25">
      <c r="A80" s="534" t="s">
        <v>883</v>
      </c>
      <c r="B80" s="534" t="str">
        <f>IFERROR(VLOOKUP(A80,Race_2024!A:C,3,FALSE), VLOOKUP(A80,Race_2024!A:C,3,FALSE))</f>
        <v>Sales&amp;distrib.exp.</v>
      </c>
      <c r="C80" s="540" t="s">
        <v>884</v>
      </c>
      <c r="D80" s="539">
        <f>IFERROR(VLOOKUP($A80,Race_2024!A:L, 7,FALSE),0)</f>
        <v>-140178.242</v>
      </c>
      <c r="E80" s="539">
        <f>IFERROR(VLOOKUP($A80,Race_2024!A:L, 9,FALSE),0)</f>
        <v>-283221.85499999998</v>
      </c>
      <c r="F80" s="539">
        <f>IFERROR(VLOOKUP($A80,Race_2024!A:L, 8,FALSE),0)</f>
        <v>-159911.185</v>
      </c>
      <c r="G80" s="539">
        <f>IFERROR(VLOOKUP($A80,Race_2024!A:L, 10,FALSE),0)</f>
        <v>-318053.31699999998</v>
      </c>
      <c r="H80" s="539">
        <f>IFERROR(VLOOKUP($A80,Race_2024!A:L, 11,FALSE),0)</f>
        <v>-318915.73800000001</v>
      </c>
      <c r="I80" s="538">
        <f>IFERROR(VLOOKUP($A80,Race_2024!A:L, 12,FALSE),0)</f>
        <v>-350672.89899999998</v>
      </c>
      <c r="J80" s="542"/>
      <c r="K80" s="532"/>
    </row>
    <row r="81" spans="1:11" ht="15" x14ac:dyDescent="0.25">
      <c r="A81" s="534" t="s">
        <v>885</v>
      </c>
      <c r="B81" s="534" t="str">
        <f>IFERROR(VLOOKUP(A81,Race_2024!A:C,3,FALSE), VLOOKUP(A81,Race_2024!A:C,3,FALSE))</f>
        <v>PE selling</v>
      </c>
      <c r="C81" s="544" t="s">
        <v>886</v>
      </c>
      <c r="D81" s="536">
        <f>IFERROR(VLOOKUP($A81,Race_2024!A:L, 7,FALSE),0)</f>
        <v>-87110.805999999997</v>
      </c>
      <c r="E81" s="536">
        <f>IFERROR(VLOOKUP($A81,Race_2024!A:L, 9,FALSE),0)</f>
        <v>-174889.70199999999</v>
      </c>
      <c r="F81" s="536">
        <f>IFERROR(VLOOKUP($A81,Race_2024!A:L, 8,FALSE),0)</f>
        <v>-92171.721999999994</v>
      </c>
      <c r="G81" s="536">
        <f>IFERROR(VLOOKUP($A81,Race_2024!A:L, 10,FALSE),0)</f>
        <v>-193323.791</v>
      </c>
      <c r="H81" s="536">
        <f>IFERROR(VLOOKUP($A81,Race_2024!A:L, 11,FALSE),0)</f>
        <v>-193323.79</v>
      </c>
      <c r="I81" s="535">
        <f>IFERROR(VLOOKUP($A81,Race_2024!A:L, 12,FALSE),0)</f>
        <v>-231921.66</v>
      </c>
      <c r="J81" s="542"/>
      <c r="K81" s="532"/>
    </row>
    <row r="82" spans="1:11" ht="15" x14ac:dyDescent="0.25">
      <c r="A82" s="534" t="s">
        <v>887</v>
      </c>
      <c r="B82" s="534" t="str">
        <f>IFERROR(VLOOKUP(A82,Race_2024!A:C,3,FALSE), VLOOKUP(A82,Race_2024!A:C,3,FALSE))</f>
        <v>PE communication</v>
      </c>
      <c r="C82" s="544" t="s">
        <v>888</v>
      </c>
      <c r="D82" s="536">
        <f>IFERROR(VLOOKUP($A82,Race_2024!A:L, 7,FALSE),0)</f>
        <v>-4340.5540000000001</v>
      </c>
      <c r="E82" s="536">
        <f>IFERROR(VLOOKUP($A82,Race_2024!A:L, 9,FALSE),0)</f>
        <v>-7711.6869999999999</v>
      </c>
      <c r="F82" s="536">
        <f>IFERROR(VLOOKUP($A82,Race_2024!A:L, 8,FALSE),0)</f>
        <v>-4064.297</v>
      </c>
      <c r="G82" s="536">
        <f>IFERROR(VLOOKUP($A82,Race_2024!A:L, 10,FALSE),0)</f>
        <v>-9401.0840000000007</v>
      </c>
      <c r="H82" s="536">
        <f>IFERROR(VLOOKUP($A82,Race_2024!A:L, 11,FALSE),0)</f>
        <v>-9401.0869999999995</v>
      </c>
      <c r="I82" s="535">
        <f>IFERROR(VLOOKUP($A82,Race_2024!A:L, 12,FALSE),0)</f>
        <v>-15032.688</v>
      </c>
      <c r="J82" s="542"/>
      <c r="K82" s="532"/>
    </row>
    <row r="83" spans="1:11" ht="15" x14ac:dyDescent="0.25">
      <c r="A83" s="534" t="s">
        <v>889</v>
      </c>
      <c r="B83" s="534" t="str">
        <f>IFERROR(VLOOKUP(A83,Race_2024!A:C,3,FALSE), VLOOKUP(A83,Race_2024!A:C,3,FALSE))</f>
        <v>PE distribution</v>
      </c>
      <c r="C83" s="544" t="s">
        <v>473</v>
      </c>
      <c r="D83" s="536">
        <f>IFERROR(VLOOKUP($A83,Race_2024!A:L, 7,FALSE),0)</f>
        <v>-48726.881999999998</v>
      </c>
      <c r="E83" s="536">
        <f>IFERROR(VLOOKUP($A83,Race_2024!A:L, 9,FALSE),0)</f>
        <v>-100620.466</v>
      </c>
      <c r="F83" s="536">
        <f>IFERROR(VLOOKUP($A83,Race_2024!A:L, 8,FALSE),0)</f>
        <v>-63675.165999999997</v>
      </c>
      <c r="G83" s="536">
        <f>IFERROR(VLOOKUP($A83,Race_2024!A:L, 10,FALSE),0)</f>
        <v>-115328.442</v>
      </c>
      <c r="H83" s="536">
        <f>IFERROR(VLOOKUP($A83,Race_2024!A:L, 11,FALSE),0)</f>
        <v>-116190.861</v>
      </c>
      <c r="I83" s="535">
        <f>IFERROR(VLOOKUP($A83,Race_2024!A:L, 12,FALSE),0)</f>
        <v>-103718.55100000001</v>
      </c>
      <c r="J83" s="542"/>
      <c r="K83" s="532"/>
    </row>
    <row r="84" spans="1:11" ht="15" x14ac:dyDescent="0.25">
      <c r="A84" s="534" t="s">
        <v>890</v>
      </c>
      <c r="B84" s="534" t="e">
        <f>IFERROR(VLOOKUP(A84,Race_2024!A:C,3,FALSE), VLOOKUP(A84,Race_2024!A:C,3,FALSE))</f>
        <v>#N/A</v>
      </c>
      <c r="C84" s="544" t="s">
        <v>891</v>
      </c>
      <c r="D84" s="536">
        <f>IFERROR(VLOOKUP($A84,Race_2024!A:L, 7,FALSE),0)</f>
        <v>0</v>
      </c>
      <c r="E84" s="536">
        <f>IFERROR(VLOOKUP($A84,Race_2024!A:L, 9,FALSE),0)</f>
        <v>0</v>
      </c>
      <c r="F84" s="536">
        <f>IFERROR(VLOOKUP($A84,Race_2024!A:L, 8,FALSE),0)</f>
        <v>0</v>
      </c>
      <c r="G84" s="536">
        <f>IFERROR(VLOOKUP($A84,Race_2024!A:L, 10,FALSE),0)</f>
        <v>0</v>
      </c>
      <c r="H84" s="536">
        <f>IFERROR(VLOOKUP($A84,Race_2024!A:L, 11,FALSE),0)</f>
        <v>0</v>
      </c>
      <c r="I84" s="535">
        <f>IFERROR(VLOOKUP($A84,Race_2024!A:L, 12,FALSE),0)</f>
        <v>0</v>
      </c>
      <c r="J84" s="533"/>
      <c r="K84" s="532"/>
    </row>
    <row r="85" spans="1:11" ht="15" x14ac:dyDescent="0.25">
      <c r="A85" s="534" t="s">
        <v>892</v>
      </c>
      <c r="B85" s="534" t="str">
        <f>IFERROR(VLOOKUP(A85,Race_2024!A:C,3,FALSE), VLOOKUP(A85,Race_2024!A:C,3,FALSE))</f>
        <v>F,G and A expenses</v>
      </c>
      <c r="C85" s="540" t="s">
        <v>479</v>
      </c>
      <c r="D85" s="539">
        <f>IFERROR(VLOOKUP($A85,Race_2024!A:L, 7,FALSE),0)</f>
        <v>-165365.622</v>
      </c>
      <c r="E85" s="539">
        <f>IFERROR(VLOOKUP($A85,Race_2024!A:L, 9,FALSE),0)</f>
        <v>-331080.86200000002</v>
      </c>
      <c r="F85" s="539">
        <f>IFERROR(VLOOKUP($A85,Race_2024!A:L, 8,FALSE),0)</f>
        <v>-179176.00399999999</v>
      </c>
      <c r="G85" s="539">
        <f>IFERROR(VLOOKUP($A85,Race_2024!A:L, 10,FALSE),0)</f>
        <v>-368202.63900000002</v>
      </c>
      <c r="H85" s="539">
        <f>IFERROR(VLOOKUP($A85,Race_2024!A:L, 11,FALSE),0)</f>
        <v>-365776.37400000001</v>
      </c>
      <c r="I85" s="538">
        <f>IFERROR(VLOOKUP($A85,Race_2024!A:L, 12,FALSE),0)</f>
        <v>-472691.17599999998</v>
      </c>
      <c r="J85" s="533"/>
      <c r="K85" s="532"/>
    </row>
    <row r="86" spans="1:11" ht="15" x14ac:dyDescent="0.25">
      <c r="A86" s="534" t="s">
        <v>893</v>
      </c>
      <c r="B86" s="534" t="str">
        <f>IFERROR(VLOOKUP(A86,Race_2024!A:C,3,FALSE), VLOOKUP(A86,Race_2024!A:C,3,FALSE))</f>
        <v>F,G&amp;A expenses</v>
      </c>
      <c r="C86" s="544" t="s">
        <v>479</v>
      </c>
      <c r="D86" s="536">
        <f>IFERROR(VLOOKUP($A86,Race_2024!A:L, 7,FALSE),0)</f>
        <v>-165365.622</v>
      </c>
      <c r="E86" s="536">
        <f>IFERROR(VLOOKUP($A86,Race_2024!A:L, 9,FALSE),0)</f>
        <v>-331080.86200000002</v>
      </c>
      <c r="F86" s="536">
        <f>IFERROR(VLOOKUP($A86,Race_2024!A:L, 8,FALSE),0)</f>
        <v>-179176.00399999999</v>
      </c>
      <c r="G86" s="536">
        <f>IFERROR(VLOOKUP($A86,Race_2024!A:L, 10,FALSE),0)</f>
        <v>-368202.63900000002</v>
      </c>
      <c r="H86" s="536">
        <f>IFERROR(VLOOKUP($A86,Race_2024!A:L, 11,FALSE),0)</f>
        <v>-365776.37400000001</v>
      </c>
      <c r="I86" s="535">
        <f>IFERROR(VLOOKUP($A86,Race_2024!A:L, 12,FALSE),0)</f>
        <v>-472691.17599999998</v>
      </c>
      <c r="J86" s="533"/>
      <c r="K86" s="532"/>
    </row>
    <row r="87" spans="1:11" ht="15" x14ac:dyDescent="0.25">
      <c r="A87" s="534" t="s">
        <v>894</v>
      </c>
      <c r="B87" s="534" t="e">
        <f>IFERROR(VLOOKUP(A87,Race_2024!A:C,3,FALSE), VLOOKUP(A87,Race_2024!A:C,3,FALSE))</f>
        <v>#N/A</v>
      </c>
      <c r="C87" s="544" t="s">
        <v>895</v>
      </c>
      <c r="D87" s="536">
        <f>IFERROR(VLOOKUP($A87,Race_2024!A:L, 7,FALSE),0)</f>
        <v>0</v>
      </c>
      <c r="E87" s="536">
        <f>IFERROR(VLOOKUP($A87,Race_2024!A:L, 9,FALSE),0)</f>
        <v>0</v>
      </c>
      <c r="F87" s="536">
        <f>IFERROR(VLOOKUP($A87,Race_2024!A:L, 8,FALSE),0)</f>
        <v>0</v>
      </c>
      <c r="G87" s="536">
        <f>IFERROR(VLOOKUP($A87,Race_2024!A:L, 10,FALSE),0)</f>
        <v>0</v>
      </c>
      <c r="H87" s="536">
        <f>IFERROR(VLOOKUP($A87,Race_2024!A:L, 11,FALSE),0)</f>
        <v>0</v>
      </c>
      <c r="I87" s="535">
        <f>IFERROR(VLOOKUP($A87,Race_2024!A:L, 12,FALSE),0)</f>
        <v>0</v>
      </c>
      <c r="J87" s="533"/>
      <c r="K87" s="532"/>
    </row>
    <row r="88" spans="1:11" ht="15" x14ac:dyDescent="0.25">
      <c r="A88" s="534" t="s">
        <v>896</v>
      </c>
      <c r="B88" s="534" t="str">
        <f>IFERROR(VLOOKUP(A88,Race_2024!A:C,3,FALSE), VLOOKUP(A88,Race_2024!A:C,3,FALSE))</f>
        <v>Oth.op. inc./exp.tot</v>
      </c>
      <c r="C88" s="540" t="s">
        <v>897</v>
      </c>
      <c r="D88" s="539">
        <f>IFERROR(VLOOKUP($A88,Race_2024!A:L, 7,FALSE),0)</f>
        <v>-5669.6130000000003</v>
      </c>
      <c r="E88" s="539">
        <f>IFERROR(VLOOKUP($A88,Race_2024!A:L, 9,FALSE),0)</f>
        <v>0</v>
      </c>
      <c r="F88" s="539">
        <f>IFERROR(VLOOKUP($A88,Race_2024!A:L, 8,FALSE),0)</f>
        <v>-30000.673999999999</v>
      </c>
      <c r="G88" s="539">
        <f>IFERROR(VLOOKUP($A88,Race_2024!A:L, 10,FALSE),0)</f>
        <v>-31812.651000000002</v>
      </c>
      <c r="H88" s="539">
        <f>IFERROR(VLOOKUP($A88,Race_2024!A:L, 11,FALSE),0)</f>
        <v>31867.175999999999</v>
      </c>
      <c r="I88" s="538">
        <f>IFERROR(VLOOKUP($A88,Race_2024!A:L, 12,FALSE),0)</f>
        <v>0</v>
      </c>
      <c r="J88" s="533"/>
      <c r="K88" s="532"/>
    </row>
    <row r="89" spans="1:11" ht="15" x14ac:dyDescent="0.25">
      <c r="A89" s="534" t="s">
        <v>898</v>
      </c>
      <c r="B89" s="534" t="e">
        <f>IFERROR(VLOOKUP(A89,Race_2024!A:C,3,FALSE), VLOOKUP(A89,Race_2024!A:C,3,FALSE))</f>
        <v>#N/A</v>
      </c>
      <c r="C89" s="537" t="s">
        <v>899</v>
      </c>
      <c r="D89" s="536">
        <f>IFERROR(VLOOKUP($A89,Race_2024!A:L, 7,FALSE),0)</f>
        <v>0</v>
      </c>
      <c r="E89" s="536">
        <f>IFERROR(VLOOKUP($A89,Race_2024!A:L, 9,FALSE),0)</f>
        <v>0</v>
      </c>
      <c r="F89" s="536">
        <f>IFERROR(VLOOKUP($A89,Race_2024!A:L, 8,FALSE),0)</f>
        <v>0</v>
      </c>
      <c r="G89" s="536">
        <f>IFERROR(VLOOKUP($A89,Race_2024!A:L, 10,FALSE),0)</f>
        <v>0</v>
      </c>
      <c r="H89" s="536">
        <f>IFERROR(VLOOKUP($A89,Race_2024!A:L, 11,FALSE),0)</f>
        <v>0</v>
      </c>
      <c r="I89" s="535">
        <f>IFERROR(VLOOKUP($A89,Race_2024!A:L, 12,FALSE),0)</f>
        <v>0</v>
      </c>
      <c r="J89" s="533"/>
      <c r="K89" s="532"/>
    </row>
    <row r="90" spans="1:11" ht="15" x14ac:dyDescent="0.25">
      <c r="A90" s="534" t="s">
        <v>900</v>
      </c>
      <c r="B90" s="534" t="str">
        <f>IFERROR(VLOOKUP(A90,Race_2024!A:C,3,FALSE), VLOOKUP(A90,Race_2024!A:C,3,FALSE))</f>
        <v>Prov.f.dbtful acc.</v>
      </c>
      <c r="C90" s="537" t="s">
        <v>901</v>
      </c>
      <c r="D90" s="536">
        <f>IFERROR(VLOOKUP($A90,Race_2024!A:L, 7,FALSE),0)</f>
        <v>-5367.4539999999997</v>
      </c>
      <c r="E90" s="536">
        <f>IFERROR(VLOOKUP($A90,Race_2024!A:L, 9,FALSE),0)</f>
        <v>0</v>
      </c>
      <c r="F90" s="536">
        <f>IFERROR(VLOOKUP($A90,Race_2024!A:L, 8,FALSE),0)</f>
        <v>165.38200000000001</v>
      </c>
      <c r="G90" s="536">
        <f>IFERROR(VLOOKUP($A90,Race_2024!A:L, 10,FALSE),0)</f>
        <v>-1021.966</v>
      </c>
      <c r="H90" s="536">
        <f>IFERROR(VLOOKUP($A90,Race_2024!A:L, 11,FALSE),0)</f>
        <v>-1021.966</v>
      </c>
      <c r="I90" s="535">
        <f>IFERROR(VLOOKUP($A90,Race_2024!A:L, 12,FALSE),0)</f>
        <v>0</v>
      </c>
      <c r="J90" s="533"/>
      <c r="K90" s="532"/>
    </row>
    <row r="91" spans="1:11" ht="15" x14ac:dyDescent="0.25">
      <c r="A91" s="534" t="s">
        <v>902</v>
      </c>
      <c r="B91" s="534" t="e">
        <f>IFERROR(VLOOKUP(A91,Race_2024!A:C,3,FALSE), VLOOKUP(A91,Race_2024!A:C,3,FALSE))</f>
        <v>#N/A</v>
      </c>
      <c r="C91" s="537" t="s">
        <v>903</v>
      </c>
      <c r="D91" s="536">
        <f>IFERROR(VLOOKUP($A91,Race_2024!A:L, 7,FALSE),0)</f>
        <v>0</v>
      </c>
      <c r="E91" s="536">
        <f>IFERROR(VLOOKUP($A91,Race_2024!A:L, 9,FALSE),0)</f>
        <v>0</v>
      </c>
      <c r="F91" s="536">
        <f>IFERROR(VLOOKUP($A91,Race_2024!A:L, 8,FALSE),0)</f>
        <v>0</v>
      </c>
      <c r="G91" s="536">
        <f>IFERROR(VLOOKUP($A91,Race_2024!A:L, 10,FALSE),0)</f>
        <v>0</v>
      </c>
      <c r="H91" s="536">
        <f>IFERROR(VLOOKUP($A91,Race_2024!A:L, 11,FALSE),0)</f>
        <v>0</v>
      </c>
      <c r="I91" s="535">
        <f>IFERROR(VLOOKUP($A91,Race_2024!A:L, 12,FALSE),0)</f>
        <v>0</v>
      </c>
      <c r="J91" s="533"/>
      <c r="K91" s="532"/>
    </row>
    <row r="92" spans="1:11" ht="15" x14ac:dyDescent="0.25">
      <c r="A92" s="534" t="s">
        <v>904</v>
      </c>
      <c r="B92" s="534" t="e">
        <f>IFERROR(VLOOKUP(A92,Race_2024!A:C,3,FALSE), VLOOKUP(A92,Race_2024!A:C,3,FALSE))</f>
        <v>#N/A</v>
      </c>
      <c r="C92" s="537" t="s">
        <v>905</v>
      </c>
      <c r="D92" s="536">
        <f>IFERROR(VLOOKUP($A92,Race_2024!A:L, 7,FALSE),0)</f>
        <v>0</v>
      </c>
      <c r="E92" s="536">
        <f>IFERROR(VLOOKUP($A92,Race_2024!A:L, 9,FALSE),0)</f>
        <v>0</v>
      </c>
      <c r="F92" s="536">
        <f>IFERROR(VLOOKUP($A92,Race_2024!A:L, 8,FALSE),0)</f>
        <v>0</v>
      </c>
      <c r="G92" s="536">
        <f>IFERROR(VLOOKUP($A92,Race_2024!A:L, 10,FALSE),0)</f>
        <v>0</v>
      </c>
      <c r="H92" s="536">
        <f>IFERROR(VLOOKUP($A92,Race_2024!A:L, 11,FALSE),0)</f>
        <v>0</v>
      </c>
      <c r="I92" s="535">
        <f>IFERROR(VLOOKUP($A92,Race_2024!A:L, 12,FALSE),0)</f>
        <v>0</v>
      </c>
      <c r="J92" s="533"/>
      <c r="K92" s="532"/>
    </row>
    <row r="93" spans="1:11" ht="15" x14ac:dyDescent="0.25">
      <c r="A93" s="534" t="s">
        <v>906</v>
      </c>
      <c r="B93" s="534" t="e">
        <f>IFERROR(VLOOKUP(A93,Race_2024!A:C,3,FALSE), VLOOKUP(A93,Race_2024!A:C,3,FALSE))</f>
        <v>#N/A</v>
      </c>
      <c r="C93" s="537" t="s">
        <v>907</v>
      </c>
      <c r="D93" s="536">
        <f>IFERROR(VLOOKUP($A93,Race_2024!A:L, 7,FALSE),0)</f>
        <v>0</v>
      </c>
      <c r="E93" s="536">
        <f>IFERROR(VLOOKUP($A93,Race_2024!A:L, 9,FALSE),0)</f>
        <v>0</v>
      </c>
      <c r="F93" s="536">
        <f>IFERROR(VLOOKUP($A93,Race_2024!A:L, 8,FALSE),0)</f>
        <v>0</v>
      </c>
      <c r="G93" s="536">
        <f>IFERROR(VLOOKUP($A93,Race_2024!A:L, 10,FALSE),0)</f>
        <v>0</v>
      </c>
      <c r="H93" s="536">
        <f>IFERROR(VLOOKUP($A93,Race_2024!A:L, 11,FALSE),0)</f>
        <v>0</v>
      </c>
      <c r="I93" s="535">
        <f>IFERROR(VLOOKUP($A93,Race_2024!A:L, 12,FALSE),0)</f>
        <v>0</v>
      </c>
      <c r="J93" s="533"/>
      <c r="K93" s="532"/>
    </row>
    <row r="94" spans="1:11" ht="15" x14ac:dyDescent="0.25">
      <c r="A94" s="534" t="s">
        <v>908</v>
      </c>
      <c r="B94" s="534" t="e">
        <f>IFERROR(VLOOKUP(A94,Race_2024!A:C,3,FALSE), VLOOKUP(A94,Race_2024!A:C,3,FALSE))</f>
        <v>#N/A</v>
      </c>
      <c r="C94" s="537" t="s">
        <v>909</v>
      </c>
      <c r="D94" s="536">
        <f>IFERROR(VLOOKUP($A94,Race_2024!A:L, 7,FALSE),0)</f>
        <v>0</v>
      </c>
      <c r="E94" s="536">
        <f>IFERROR(VLOOKUP($A94,Race_2024!A:L, 9,FALSE),0)</f>
        <v>0</v>
      </c>
      <c r="F94" s="536">
        <f>IFERROR(VLOOKUP($A94,Race_2024!A:L, 8,FALSE),0)</f>
        <v>0</v>
      </c>
      <c r="G94" s="536">
        <f>IFERROR(VLOOKUP($A94,Race_2024!A:L, 10,FALSE),0)</f>
        <v>0</v>
      </c>
      <c r="H94" s="536">
        <f>IFERROR(VLOOKUP($A94,Race_2024!A:L, 11,FALSE),0)</f>
        <v>0</v>
      </c>
      <c r="I94" s="535">
        <f>IFERROR(VLOOKUP($A94,Race_2024!A:L, 12,FALSE),0)</f>
        <v>0</v>
      </c>
      <c r="J94" s="533"/>
      <c r="K94" s="532"/>
    </row>
    <row r="95" spans="1:11" ht="15" x14ac:dyDescent="0.25">
      <c r="A95" s="534" t="s">
        <v>910</v>
      </c>
      <c r="B95" s="534" t="e">
        <f>IFERROR(VLOOKUP(A95,Race_2024!A:C,3,FALSE), VLOOKUP(A95,Race_2024!A:C,3,FALSE))</f>
        <v>#N/A</v>
      </c>
      <c r="C95" s="541" t="s">
        <v>911</v>
      </c>
      <c r="D95" s="536">
        <f>IFERROR(VLOOKUP($A95,Race_2024!A:L, 7,FALSE),0)</f>
        <v>0</v>
      </c>
      <c r="E95" s="536">
        <f>IFERROR(VLOOKUP($A95,Race_2024!A:L, 9,FALSE),0)</f>
        <v>0</v>
      </c>
      <c r="F95" s="536">
        <f>IFERROR(VLOOKUP($A95,Race_2024!A:L, 8,FALSE),0)</f>
        <v>0</v>
      </c>
      <c r="G95" s="536">
        <f>IFERROR(VLOOKUP($A95,Race_2024!A:L, 10,FALSE),0)</f>
        <v>0</v>
      </c>
      <c r="H95" s="536">
        <f>IFERROR(VLOOKUP($A95,Race_2024!A:L, 11,FALSE),0)</f>
        <v>0</v>
      </c>
      <c r="I95" s="535">
        <f>IFERROR(VLOOKUP($A95,Race_2024!A:L, 12,FALSE),0)</f>
        <v>0</v>
      </c>
      <c r="J95" s="533"/>
      <c r="K95" s="532"/>
    </row>
    <row r="96" spans="1:11" ht="15" x14ac:dyDescent="0.25">
      <c r="A96" s="534" t="s">
        <v>912</v>
      </c>
      <c r="B96" s="534" t="e">
        <f>IFERROR(VLOOKUP(A96,Race_2024!A:C,3,FALSE), VLOOKUP(A96,Race_2024!A:C,3,FALSE))</f>
        <v>#N/A</v>
      </c>
      <c r="C96" s="541" t="s">
        <v>913</v>
      </c>
      <c r="D96" s="536">
        <f>IFERROR(VLOOKUP($A96,Race_2024!A:L, 7,FALSE),0)</f>
        <v>0</v>
      </c>
      <c r="E96" s="536">
        <f>IFERROR(VLOOKUP($A96,Race_2024!A:L, 9,FALSE),0)</f>
        <v>0</v>
      </c>
      <c r="F96" s="536">
        <f>IFERROR(VLOOKUP($A96,Race_2024!A:L, 8,FALSE),0)</f>
        <v>0</v>
      </c>
      <c r="G96" s="536">
        <f>IFERROR(VLOOKUP($A96,Race_2024!A:L, 10,FALSE),0)</f>
        <v>0</v>
      </c>
      <c r="H96" s="536">
        <f>IFERROR(VLOOKUP($A96,Race_2024!A:L, 11,FALSE),0)</f>
        <v>0</v>
      </c>
      <c r="I96" s="535">
        <f>IFERROR(VLOOKUP($A96,Race_2024!A:L, 12,FALSE),0)</f>
        <v>0</v>
      </c>
      <c r="J96" s="533"/>
      <c r="K96" s="532"/>
    </row>
    <row r="97" spans="1:11" ht="15" x14ac:dyDescent="0.25">
      <c r="A97" s="534" t="s">
        <v>914</v>
      </c>
      <c r="B97" s="534" t="e">
        <f>IFERROR(VLOOKUP(A97,Race_2024!A:C,3,FALSE), VLOOKUP(A97,Race_2024!A:C,3,FALSE))</f>
        <v>#N/A</v>
      </c>
      <c r="C97" s="541" t="s">
        <v>915</v>
      </c>
      <c r="D97" s="536">
        <f>IFERROR(VLOOKUP($A97,Race_2024!A:L, 7,FALSE),0)</f>
        <v>0</v>
      </c>
      <c r="E97" s="536">
        <f>IFERROR(VLOOKUP($A97,Race_2024!A:L, 9,FALSE),0)</f>
        <v>0</v>
      </c>
      <c r="F97" s="536">
        <f>IFERROR(VLOOKUP($A97,Race_2024!A:L, 8,FALSE),0)</f>
        <v>0</v>
      </c>
      <c r="G97" s="536">
        <f>IFERROR(VLOOKUP($A97,Race_2024!A:L, 10,FALSE),0)</f>
        <v>0</v>
      </c>
      <c r="H97" s="536">
        <f>IFERROR(VLOOKUP($A97,Race_2024!A:L, 11,FALSE),0)</f>
        <v>0</v>
      </c>
      <c r="I97" s="535">
        <f>IFERROR(VLOOKUP($A97,Race_2024!A:L, 12,FALSE),0)</f>
        <v>0</v>
      </c>
      <c r="J97" s="533"/>
      <c r="K97" s="532"/>
    </row>
    <row r="98" spans="1:11" ht="15" x14ac:dyDescent="0.25">
      <c r="A98" s="534" t="s">
        <v>916</v>
      </c>
      <c r="B98" s="534" t="e">
        <f>IFERROR(VLOOKUP(A98,Race_2024!A:C,3,FALSE), VLOOKUP(A98,Race_2024!A:C,3,FALSE))</f>
        <v>#N/A</v>
      </c>
      <c r="C98" s="541" t="s">
        <v>917</v>
      </c>
      <c r="D98" s="536">
        <f>IFERROR(VLOOKUP($A98,Race_2024!A:L, 7,FALSE),0)</f>
        <v>0</v>
      </c>
      <c r="E98" s="536">
        <f>IFERROR(VLOOKUP($A98,Race_2024!A:L, 9,FALSE),0)</f>
        <v>0</v>
      </c>
      <c r="F98" s="536">
        <f>IFERROR(VLOOKUP($A98,Race_2024!A:L, 8,FALSE),0)</f>
        <v>0</v>
      </c>
      <c r="G98" s="536">
        <f>IFERROR(VLOOKUP($A98,Race_2024!A:L, 10,FALSE),0)</f>
        <v>0</v>
      </c>
      <c r="H98" s="536">
        <f>IFERROR(VLOOKUP($A98,Race_2024!A:L, 11,FALSE),0)</f>
        <v>0</v>
      </c>
      <c r="I98" s="535">
        <f>IFERROR(VLOOKUP($A98,Race_2024!A:L, 12,FALSE),0)</f>
        <v>0</v>
      </c>
      <c r="J98" s="533"/>
      <c r="K98" s="532"/>
    </row>
    <row r="99" spans="1:11" ht="15" x14ac:dyDescent="0.25">
      <c r="A99" s="534" t="s">
        <v>918</v>
      </c>
      <c r="B99" s="534" t="e">
        <f>IFERROR(VLOOKUP(A99,Race_2024!A:C,3,FALSE), VLOOKUP(A99,Race_2024!A:C,3,FALSE))</f>
        <v>#N/A</v>
      </c>
      <c r="C99" s="541" t="s">
        <v>919</v>
      </c>
      <c r="D99" s="536">
        <f>IFERROR(VLOOKUP($A99,Race_2024!A:L, 7,FALSE),0)</f>
        <v>0</v>
      </c>
      <c r="E99" s="536">
        <f>IFERROR(VLOOKUP($A99,Race_2024!A:L, 9,FALSE),0)</f>
        <v>0</v>
      </c>
      <c r="F99" s="536">
        <f>IFERROR(VLOOKUP($A99,Race_2024!A:L, 8,FALSE),0)</f>
        <v>0</v>
      </c>
      <c r="G99" s="536">
        <f>IFERROR(VLOOKUP($A99,Race_2024!A:L, 10,FALSE),0)</f>
        <v>0</v>
      </c>
      <c r="H99" s="536">
        <f>IFERROR(VLOOKUP($A99,Race_2024!A:L, 11,FALSE),0)</f>
        <v>0</v>
      </c>
      <c r="I99" s="535">
        <f>IFERROR(VLOOKUP($A99,Race_2024!A:L, 12,FALSE),0)</f>
        <v>0</v>
      </c>
      <c r="J99" s="533"/>
      <c r="K99" s="532"/>
    </row>
    <row r="100" spans="1:11" ht="15" x14ac:dyDescent="0.25">
      <c r="A100" s="534" t="s">
        <v>920</v>
      </c>
      <c r="B100" s="534" t="e">
        <f>IFERROR(VLOOKUP(A100,Race_2024!A:C,3,FALSE), VLOOKUP(A100,Race_2024!A:C,3,FALSE))</f>
        <v>#N/A</v>
      </c>
      <c r="C100" s="647" t="s">
        <v>921</v>
      </c>
      <c r="D100" s="536">
        <f>IFERROR(VLOOKUP($A100,Race_2024!A:L, 7,FALSE),0)</f>
        <v>0</v>
      </c>
      <c r="E100" s="536">
        <f>IFERROR(VLOOKUP($A100,Race_2024!A:L, 9,FALSE),0)</f>
        <v>0</v>
      </c>
      <c r="F100" s="536">
        <f>IFERROR(VLOOKUP($A100,Race_2024!A:L, 8,FALSE),0)</f>
        <v>0</v>
      </c>
      <c r="G100" s="536">
        <f>IFERROR(VLOOKUP($A100,Race_2024!A:L, 10,FALSE),0)</f>
        <v>0</v>
      </c>
      <c r="H100" s="536">
        <f>IFERROR(VLOOKUP($A100,Race_2024!A:L, 11,FALSE),0)</f>
        <v>0</v>
      </c>
      <c r="I100" s="535">
        <f>IFERROR(VLOOKUP($A100,Race_2024!A:L, 12,FALSE),0)</f>
        <v>0</v>
      </c>
      <c r="J100" s="533"/>
      <c r="K100" s="532"/>
    </row>
    <row r="101" spans="1:11" ht="15" x14ac:dyDescent="0.25">
      <c r="A101" s="534" t="s">
        <v>922</v>
      </c>
      <c r="B101" s="534" t="str">
        <f>IFERROR(VLOOKUP(A101,Race_2024!A:C,3,FALSE), VLOOKUP(A101,Race_2024!A:C,3,FALSE))</f>
        <v>FX op. total</v>
      </c>
      <c r="C101" s="537" t="s">
        <v>923</v>
      </c>
      <c r="D101" s="536">
        <f>IFERROR(VLOOKUP($A101,Race_2024!A:L, 7,FALSE),0)</f>
        <v>-61967.267</v>
      </c>
      <c r="E101" s="536">
        <f>IFERROR(VLOOKUP($A101,Race_2024!A:L, 9,FALSE),0)</f>
        <v>0</v>
      </c>
      <c r="F101" s="536">
        <f>IFERROR(VLOOKUP($A101,Race_2024!A:L, 8,FALSE),0)</f>
        <v>-29397.42</v>
      </c>
      <c r="G101" s="536">
        <f>IFERROR(VLOOKUP($A101,Race_2024!A:L, 10,FALSE),0)</f>
        <v>-29397.422999999999</v>
      </c>
      <c r="H101" s="536">
        <f>IFERROR(VLOOKUP($A101,Race_2024!A:L, 11,FALSE),0)</f>
        <v>34282.404000000002</v>
      </c>
      <c r="I101" s="535">
        <f>IFERROR(VLOOKUP($A101,Race_2024!A:L, 12,FALSE),0)</f>
        <v>0</v>
      </c>
      <c r="J101" s="533"/>
      <c r="K101" s="532"/>
    </row>
    <row r="102" spans="1:11" ht="15" x14ac:dyDescent="0.25">
      <c r="A102" s="534" t="s">
        <v>924</v>
      </c>
      <c r="B102" s="534" t="str">
        <f>IFERROR(VLOOKUP(A102,Race_2024!A:C,3,FALSE), VLOOKUP(A102,Race_2024!A:C,3,FALSE))</f>
        <v>FX - trading</v>
      </c>
      <c r="C102" s="541" t="s">
        <v>925</v>
      </c>
      <c r="D102" s="536">
        <f>IFERROR(VLOOKUP($A102,Race_2024!A:L, 7,FALSE),0)</f>
        <v>-61967.267</v>
      </c>
      <c r="E102" s="536">
        <f>IFERROR(VLOOKUP($A102,Race_2024!A:L, 9,FALSE),0)</f>
        <v>0</v>
      </c>
      <c r="F102" s="536">
        <f>IFERROR(VLOOKUP($A102,Race_2024!A:L, 8,FALSE),0)</f>
        <v>-29397.42</v>
      </c>
      <c r="G102" s="536">
        <f>IFERROR(VLOOKUP($A102,Race_2024!A:L, 10,FALSE),0)</f>
        <v>-29397.422999999999</v>
      </c>
      <c r="H102" s="536">
        <f>IFERROR(VLOOKUP($A102,Race_2024!A:L, 11,FALSE),0)</f>
        <v>34282.404000000002</v>
      </c>
      <c r="I102" s="535">
        <f>IFERROR(VLOOKUP($A102,Race_2024!A:L, 12,FALSE),0)</f>
        <v>0</v>
      </c>
      <c r="J102" s="533"/>
      <c r="K102" s="532"/>
    </row>
    <row r="103" spans="1:11" ht="15" x14ac:dyDescent="0.25">
      <c r="A103" s="534" t="s">
        <v>926</v>
      </c>
      <c r="B103" s="534" t="e">
        <f>IFERROR(VLOOKUP(A103,Race_2024!A:C,3,FALSE), VLOOKUP(A103,Race_2024!A:C,3,FALSE))</f>
        <v>#N/A</v>
      </c>
      <c r="C103" s="541" t="s">
        <v>927</v>
      </c>
      <c r="D103" s="536">
        <f>IFERROR(VLOOKUP($A103,Race_2024!A:L, 7,FALSE),0)</f>
        <v>0</v>
      </c>
      <c r="E103" s="536">
        <f>IFERROR(VLOOKUP($A103,Race_2024!A:L, 9,FALSE),0)</f>
        <v>0</v>
      </c>
      <c r="F103" s="536">
        <f>IFERROR(VLOOKUP($A103,Race_2024!A:L, 8,FALSE),0)</f>
        <v>0</v>
      </c>
      <c r="G103" s="536">
        <f>IFERROR(VLOOKUP($A103,Race_2024!A:L, 10,FALSE),0)</f>
        <v>0</v>
      </c>
      <c r="H103" s="536">
        <f>IFERROR(VLOOKUP($A103,Race_2024!A:L, 11,FALSE),0)</f>
        <v>0</v>
      </c>
      <c r="I103" s="535">
        <f>IFERROR(VLOOKUP($A103,Race_2024!A:L, 12,FALSE),0)</f>
        <v>0</v>
      </c>
      <c r="J103" s="533"/>
      <c r="K103" s="532"/>
    </row>
    <row r="104" spans="1:11" ht="15" x14ac:dyDescent="0.25">
      <c r="A104" s="534" t="s">
        <v>928</v>
      </c>
      <c r="B104" s="534" t="e">
        <f>IFERROR(VLOOKUP(A104,Race_2024!A:C,3,FALSE), VLOOKUP(A104,Race_2024!A:C,3,FALSE))</f>
        <v>#N/A</v>
      </c>
      <c r="C104" s="541" t="s">
        <v>929</v>
      </c>
      <c r="D104" s="536">
        <f>IFERROR(VLOOKUP($A104,Race_2024!A:L, 7,FALSE),0)</f>
        <v>0</v>
      </c>
      <c r="E104" s="536">
        <f>IFERROR(VLOOKUP($A104,Race_2024!A:L, 9,FALSE),0)</f>
        <v>0</v>
      </c>
      <c r="F104" s="536">
        <f>IFERROR(VLOOKUP($A104,Race_2024!A:L, 8,FALSE),0)</f>
        <v>0</v>
      </c>
      <c r="G104" s="536">
        <f>IFERROR(VLOOKUP($A104,Race_2024!A:L, 10,FALSE),0)</f>
        <v>0</v>
      </c>
      <c r="H104" s="536">
        <f>IFERROR(VLOOKUP($A104,Race_2024!A:L, 11,FALSE),0)</f>
        <v>0</v>
      </c>
      <c r="I104" s="535">
        <f>IFERROR(VLOOKUP($A104,Race_2024!A:L, 12,FALSE),0)</f>
        <v>0</v>
      </c>
      <c r="J104" s="533"/>
      <c r="K104" s="532"/>
    </row>
    <row r="105" spans="1:11" ht="15" x14ac:dyDescent="0.25">
      <c r="A105" s="534" t="s">
        <v>930</v>
      </c>
      <c r="B105" s="534" t="str">
        <f>IFERROR(VLOOKUP(A105,Race_2024!A:C,3,FALSE), VLOOKUP(A105,Race_2024!A:C,3,FALSE))</f>
        <v>PPE disposal</v>
      </c>
      <c r="C105" s="537" t="s">
        <v>931</v>
      </c>
      <c r="D105" s="536">
        <f>IFERROR(VLOOKUP($A105,Race_2024!A:L, 7,FALSE),0)</f>
        <v>79.322000000000003</v>
      </c>
      <c r="E105" s="536">
        <f>IFERROR(VLOOKUP($A105,Race_2024!A:L, 9,FALSE),0)</f>
        <v>0</v>
      </c>
      <c r="F105" s="536">
        <f>IFERROR(VLOOKUP($A105,Race_2024!A:L, 8,FALSE),0)</f>
        <v>0</v>
      </c>
      <c r="G105" s="536">
        <f>IFERROR(VLOOKUP($A105,Race_2024!A:L, 10,FALSE),0)</f>
        <v>0</v>
      </c>
      <c r="H105" s="536">
        <f>IFERROR(VLOOKUP($A105,Race_2024!A:L, 11,FALSE),0)</f>
        <v>0</v>
      </c>
      <c r="I105" s="535">
        <f>IFERROR(VLOOKUP($A105,Race_2024!A:L, 12,FALSE),0)</f>
        <v>0</v>
      </c>
      <c r="J105" s="533"/>
      <c r="K105" s="532"/>
    </row>
    <row r="106" spans="1:11" ht="15" x14ac:dyDescent="0.25">
      <c r="A106" s="534" t="s">
        <v>932</v>
      </c>
      <c r="B106" s="534" t="e">
        <f>IFERROR(VLOOKUP(A106,Race_2024!A:C,3,FALSE), VLOOKUP(A106,Race_2024!A:C,3,FALSE))</f>
        <v>#N/A</v>
      </c>
      <c r="C106" s="541" t="s">
        <v>933</v>
      </c>
      <c r="D106" s="536">
        <f>IFERROR(VLOOKUP($A106,Race_2024!A:L, 7,FALSE),0)</f>
        <v>0</v>
      </c>
      <c r="E106" s="536">
        <f>IFERROR(VLOOKUP($A106,Race_2024!A:L, 9,FALSE),0)</f>
        <v>0</v>
      </c>
      <c r="F106" s="536">
        <f>IFERROR(VLOOKUP($A106,Race_2024!A:L, 8,FALSE),0)</f>
        <v>0</v>
      </c>
      <c r="G106" s="536">
        <f>IFERROR(VLOOKUP($A106,Race_2024!A:L, 10,FALSE),0)</f>
        <v>0</v>
      </c>
      <c r="H106" s="536">
        <f>IFERROR(VLOOKUP($A106,Race_2024!A:L, 11,FALSE),0)</f>
        <v>0</v>
      </c>
      <c r="I106" s="535">
        <f>IFERROR(VLOOKUP($A106,Race_2024!A:L, 12,FALSE),0)</f>
        <v>0</v>
      </c>
      <c r="J106" s="533"/>
      <c r="K106" s="532"/>
    </row>
    <row r="107" spans="1:11" ht="15" x14ac:dyDescent="0.25">
      <c r="A107" s="534" t="s">
        <v>934</v>
      </c>
      <c r="B107" s="534" t="e">
        <f>IFERROR(VLOOKUP(A107,Race_2024!A:C,3,FALSE), VLOOKUP(A107,Race_2024!A:C,3,FALSE))</f>
        <v>#N/A</v>
      </c>
      <c r="C107" s="541" t="s">
        <v>935</v>
      </c>
      <c r="D107" s="536">
        <f>IFERROR(VLOOKUP($A107,Race_2024!A:L, 7,FALSE),0)</f>
        <v>0</v>
      </c>
      <c r="E107" s="536">
        <f>IFERROR(VLOOKUP($A107,Race_2024!A:L, 9,FALSE),0)</f>
        <v>0</v>
      </c>
      <c r="F107" s="536">
        <f>IFERROR(VLOOKUP($A107,Race_2024!A:L, 8,FALSE),0)</f>
        <v>0</v>
      </c>
      <c r="G107" s="536">
        <f>IFERROR(VLOOKUP($A107,Race_2024!A:L, 10,FALSE),0)</f>
        <v>0</v>
      </c>
      <c r="H107" s="536">
        <f>IFERROR(VLOOKUP($A107,Race_2024!A:L, 11,FALSE),0)</f>
        <v>0</v>
      </c>
      <c r="I107" s="535">
        <f>IFERROR(VLOOKUP($A107,Race_2024!A:L, 12,FALSE),0)</f>
        <v>0</v>
      </c>
      <c r="J107" s="533"/>
      <c r="K107" s="532"/>
    </row>
    <row r="108" spans="1:11" ht="15" x14ac:dyDescent="0.25">
      <c r="A108" s="534" t="s">
        <v>936</v>
      </c>
      <c r="B108" s="534" t="e">
        <f>IFERROR(VLOOKUP(A108,Race_2024!A:C,3,FALSE), VLOOKUP(A108,Race_2024!A:C,3,FALSE))</f>
        <v>#N/A</v>
      </c>
      <c r="C108" s="543" t="s">
        <v>937</v>
      </c>
      <c r="D108" s="536">
        <f>IFERROR(VLOOKUP($A108,Race_2024!A:L, 7,FALSE),0)</f>
        <v>0</v>
      </c>
      <c r="E108" s="536">
        <f>IFERROR(VLOOKUP($A108,Race_2024!A:L, 9,FALSE),0)</f>
        <v>0</v>
      </c>
      <c r="F108" s="536">
        <f>IFERROR(VLOOKUP($A108,Race_2024!A:L, 8,FALSE),0)</f>
        <v>0</v>
      </c>
      <c r="G108" s="536">
        <f>IFERROR(VLOOKUP($A108,Race_2024!A:L, 10,FALSE),0)</f>
        <v>0</v>
      </c>
      <c r="H108" s="536">
        <f>IFERROR(VLOOKUP($A108,Race_2024!A:L, 11,FALSE),0)</f>
        <v>0</v>
      </c>
      <c r="I108" s="535">
        <f>IFERROR(VLOOKUP($A108,Race_2024!A:L, 12,FALSE),0)</f>
        <v>0</v>
      </c>
      <c r="J108" s="533"/>
      <c r="K108" s="532"/>
    </row>
    <row r="109" spans="1:11" ht="15" x14ac:dyDescent="0.25">
      <c r="A109" s="534" t="s">
        <v>938</v>
      </c>
      <c r="B109" s="534" t="e">
        <f>IFERROR(VLOOKUP(A109,Race_2024!A:C,3,FALSE), VLOOKUP(A109,Race_2024!A:C,3,FALSE))</f>
        <v>#N/A</v>
      </c>
      <c r="C109" s="543" t="s">
        <v>939</v>
      </c>
      <c r="D109" s="536">
        <f>IFERROR(VLOOKUP($A109,Race_2024!A:L, 7,FALSE),0)</f>
        <v>0</v>
      </c>
      <c r="E109" s="536">
        <f>IFERROR(VLOOKUP($A109,Race_2024!A:L, 9,FALSE),0)</f>
        <v>0</v>
      </c>
      <c r="F109" s="536">
        <f>IFERROR(VLOOKUP($A109,Race_2024!A:L, 8,FALSE),0)</f>
        <v>0</v>
      </c>
      <c r="G109" s="536">
        <f>IFERROR(VLOOKUP($A109,Race_2024!A:L, 10,FALSE),0)</f>
        <v>0</v>
      </c>
      <c r="H109" s="536">
        <f>IFERROR(VLOOKUP($A109,Race_2024!A:L, 11,FALSE),0)</f>
        <v>0</v>
      </c>
      <c r="I109" s="535">
        <f>IFERROR(VLOOKUP($A109,Race_2024!A:L, 12,FALSE),0)</f>
        <v>0</v>
      </c>
      <c r="J109" s="533"/>
      <c r="K109" s="532"/>
    </row>
    <row r="110" spans="1:11" ht="15" x14ac:dyDescent="0.25">
      <c r="A110" s="534" t="s">
        <v>940</v>
      </c>
      <c r="B110" s="534" t="e">
        <f>IFERROR(VLOOKUP(A110,Race_2024!A:C,3,FALSE), VLOOKUP(A110,Race_2024!A:C,3,FALSE))</f>
        <v>#N/A</v>
      </c>
      <c r="C110" s="543" t="s">
        <v>941</v>
      </c>
      <c r="D110" s="536">
        <f>IFERROR(VLOOKUP($A110,Race_2024!A:L, 7,FALSE),0)</f>
        <v>0</v>
      </c>
      <c r="E110" s="536">
        <f>IFERROR(VLOOKUP($A110,Race_2024!A:L, 9,FALSE),0)</f>
        <v>0</v>
      </c>
      <c r="F110" s="536">
        <f>IFERROR(VLOOKUP($A110,Race_2024!A:L, 8,FALSE),0)</f>
        <v>0</v>
      </c>
      <c r="G110" s="536">
        <f>IFERROR(VLOOKUP($A110,Race_2024!A:L, 10,FALSE),0)</f>
        <v>0</v>
      </c>
      <c r="H110" s="536">
        <f>IFERROR(VLOOKUP($A110,Race_2024!A:L, 11,FALSE),0)</f>
        <v>0</v>
      </c>
      <c r="I110" s="535">
        <f>IFERROR(VLOOKUP($A110,Race_2024!A:L, 12,FALSE),0)</f>
        <v>0</v>
      </c>
      <c r="J110" s="533"/>
      <c r="K110" s="532"/>
    </row>
    <row r="111" spans="1:11" ht="15" x14ac:dyDescent="0.25">
      <c r="A111" s="534" t="s">
        <v>942</v>
      </c>
      <c r="B111" s="534" t="e">
        <f>IFERROR(VLOOKUP(A111,Race_2024!A:C,3,FALSE), VLOOKUP(A111,Race_2024!A:C,3,FALSE))</f>
        <v>#N/A</v>
      </c>
      <c r="C111" s="543" t="s">
        <v>943</v>
      </c>
      <c r="D111" s="536">
        <f>IFERROR(VLOOKUP($A111,Race_2024!A:L, 7,FALSE),0)</f>
        <v>0</v>
      </c>
      <c r="E111" s="536">
        <f>IFERROR(VLOOKUP($A111,Race_2024!A:L, 9,FALSE),0)</f>
        <v>0</v>
      </c>
      <c r="F111" s="536">
        <f>IFERROR(VLOOKUP($A111,Race_2024!A:L, 8,FALSE),0)</f>
        <v>0</v>
      </c>
      <c r="G111" s="536">
        <f>IFERROR(VLOOKUP($A111,Race_2024!A:L, 10,FALSE),0)</f>
        <v>0</v>
      </c>
      <c r="H111" s="536">
        <f>IFERROR(VLOOKUP($A111,Race_2024!A:L, 11,FALSE),0)</f>
        <v>0</v>
      </c>
      <c r="I111" s="535">
        <f>IFERROR(VLOOKUP($A111,Race_2024!A:L, 12,FALSE),0)</f>
        <v>0</v>
      </c>
      <c r="J111" s="533"/>
      <c r="K111" s="532"/>
    </row>
    <row r="112" spans="1:11" ht="15" x14ac:dyDescent="0.25">
      <c r="A112" s="534" t="s">
        <v>944</v>
      </c>
      <c r="B112" s="534" t="e">
        <f>IFERROR(VLOOKUP(A112,Race_2024!A:C,3,FALSE), VLOOKUP(A112,Race_2024!A:C,3,FALSE))</f>
        <v>#N/A</v>
      </c>
      <c r="C112" s="543" t="s">
        <v>945</v>
      </c>
      <c r="D112" s="536">
        <f>IFERROR(VLOOKUP($A112,Race_2024!A:L, 7,FALSE),0)</f>
        <v>0</v>
      </c>
      <c r="E112" s="536">
        <f>IFERROR(VLOOKUP($A112,Race_2024!A:L, 9,FALSE),0)</f>
        <v>0</v>
      </c>
      <c r="F112" s="536">
        <f>IFERROR(VLOOKUP($A112,Race_2024!A:L, 8,FALSE),0)</f>
        <v>0</v>
      </c>
      <c r="G112" s="536">
        <f>IFERROR(VLOOKUP($A112,Race_2024!A:L, 10,FALSE),0)</f>
        <v>0</v>
      </c>
      <c r="H112" s="536">
        <f>IFERROR(VLOOKUP($A112,Race_2024!A:L, 11,FALSE),0)</f>
        <v>0</v>
      </c>
      <c r="I112" s="535">
        <f>IFERROR(VLOOKUP($A112,Race_2024!A:L, 12,FALSE),0)</f>
        <v>0</v>
      </c>
      <c r="J112" s="533"/>
      <c r="K112" s="532"/>
    </row>
    <row r="113" spans="1:11" ht="15" x14ac:dyDescent="0.25">
      <c r="A113" s="534" t="s">
        <v>946</v>
      </c>
      <c r="B113" s="534" t="e">
        <f>IFERROR(VLOOKUP(A113,Race_2024!A:C,3,FALSE), VLOOKUP(A113,Race_2024!A:C,3,FALSE))</f>
        <v>#N/A</v>
      </c>
      <c r="C113" s="543" t="s">
        <v>947</v>
      </c>
      <c r="D113" s="536">
        <f>IFERROR(VLOOKUP($A113,Race_2024!A:L, 7,FALSE),0)</f>
        <v>0</v>
      </c>
      <c r="E113" s="536">
        <f>IFERROR(VLOOKUP($A113,Race_2024!A:L, 9,FALSE),0)</f>
        <v>0</v>
      </c>
      <c r="F113" s="536">
        <f>IFERROR(VLOOKUP($A113,Race_2024!A:L, 8,FALSE),0)</f>
        <v>0</v>
      </c>
      <c r="G113" s="536">
        <f>IFERROR(VLOOKUP($A113,Race_2024!A:L, 10,FALSE),0)</f>
        <v>0</v>
      </c>
      <c r="H113" s="536">
        <f>IFERROR(VLOOKUP($A113,Race_2024!A:L, 11,FALSE),0)</f>
        <v>0</v>
      </c>
      <c r="I113" s="535">
        <f>IFERROR(VLOOKUP($A113,Race_2024!A:L, 12,FALSE),0)</f>
        <v>0</v>
      </c>
      <c r="J113" s="533"/>
      <c r="K113" s="532"/>
    </row>
    <row r="114" spans="1:11" ht="15" x14ac:dyDescent="0.25">
      <c r="A114" s="534" t="s">
        <v>948</v>
      </c>
      <c r="B114" s="534" t="str">
        <f>IFERROR(VLOOKUP(A114,Race_2024!A:C,3,FALSE), VLOOKUP(A114,Race_2024!A:C,3,FALSE))</f>
        <v>PPE disp. ext. gains</v>
      </c>
      <c r="C114" s="543" t="s">
        <v>949</v>
      </c>
      <c r="D114" s="536">
        <f>IFERROR(VLOOKUP($A114,Race_2024!A:L, 7,FALSE),0)</f>
        <v>72.3</v>
      </c>
      <c r="E114" s="536">
        <f>IFERROR(VLOOKUP($A114,Race_2024!A:L, 9,FALSE),0)</f>
        <v>0</v>
      </c>
      <c r="F114" s="536">
        <f>IFERROR(VLOOKUP($A114,Race_2024!A:L, 8,FALSE),0)</f>
        <v>0</v>
      </c>
      <c r="G114" s="536">
        <f>IFERROR(VLOOKUP($A114,Race_2024!A:L, 10,FALSE),0)</f>
        <v>0</v>
      </c>
      <c r="H114" s="536">
        <f>IFERROR(VLOOKUP($A114,Race_2024!A:L, 11,FALSE),0)</f>
        <v>0</v>
      </c>
      <c r="I114" s="535">
        <f>IFERROR(VLOOKUP($A114,Race_2024!A:L, 12,FALSE),0)</f>
        <v>0</v>
      </c>
      <c r="J114" s="533"/>
      <c r="K114" s="532"/>
    </row>
    <row r="115" spans="1:11" ht="15" x14ac:dyDescent="0.25">
      <c r="A115" s="534" t="s">
        <v>950</v>
      </c>
      <c r="B115" s="534" t="str">
        <f>IFERROR(VLOOKUP(A115,Race_2024!A:C,3,FALSE), VLOOKUP(A115,Race_2024!A:C,3,FALSE))</f>
        <v>PPE RoU dis.ext.gain</v>
      </c>
      <c r="C115" s="543" t="s">
        <v>951</v>
      </c>
      <c r="D115" s="536">
        <f>IFERROR(VLOOKUP($A115,Race_2024!A:L, 7,FALSE),0)</f>
        <v>7.0220000000000002</v>
      </c>
      <c r="E115" s="536">
        <f>IFERROR(VLOOKUP($A115,Race_2024!A:L, 9,FALSE),0)</f>
        <v>0</v>
      </c>
      <c r="F115" s="536">
        <f>IFERROR(VLOOKUP($A115,Race_2024!A:L, 8,FALSE),0)</f>
        <v>0</v>
      </c>
      <c r="G115" s="536">
        <f>IFERROR(VLOOKUP($A115,Race_2024!A:L, 10,FALSE),0)</f>
        <v>0</v>
      </c>
      <c r="H115" s="536">
        <f>IFERROR(VLOOKUP($A115,Race_2024!A:L, 11,FALSE),0)</f>
        <v>0</v>
      </c>
      <c r="I115" s="535">
        <f>IFERROR(VLOOKUP($A115,Race_2024!A:L, 12,FALSE),0)</f>
        <v>0</v>
      </c>
      <c r="J115" s="533"/>
      <c r="K115" s="532"/>
    </row>
    <row r="116" spans="1:11" ht="15" x14ac:dyDescent="0.25">
      <c r="A116" s="534" t="s">
        <v>952</v>
      </c>
      <c r="B116" s="534" t="str">
        <f>IFERROR(VLOOKUP(A116,Race_2024!A:C,3,FALSE), VLOOKUP(A116,Race_2024!A:C,3,FALSE))</f>
        <v>Equal. PY total</v>
      </c>
      <c r="C116" s="544" t="s">
        <v>953</v>
      </c>
      <c r="D116" s="536">
        <f>IFERROR(VLOOKUP($A116,Race_2024!A:L, 7,FALSE),0)</f>
        <v>43665.038</v>
      </c>
      <c r="E116" s="536">
        <f>IFERROR(VLOOKUP($A116,Race_2024!A:L, 9,FALSE),0)</f>
        <v>0</v>
      </c>
      <c r="F116" s="536">
        <f>IFERROR(VLOOKUP($A116,Race_2024!A:L, 8,FALSE),0)</f>
        <v>-1420.922</v>
      </c>
      <c r="G116" s="536">
        <f>IFERROR(VLOOKUP($A116,Race_2024!A:L, 10,FALSE),0)</f>
        <v>-1420.922</v>
      </c>
      <c r="H116" s="536">
        <f>IFERROR(VLOOKUP($A116,Race_2024!A:L, 11,FALSE),0)</f>
        <v>-1420.922</v>
      </c>
      <c r="I116" s="535">
        <f>IFERROR(VLOOKUP($A116,Race_2024!A:L, 12,FALSE),0)</f>
        <v>0</v>
      </c>
      <c r="J116" s="533"/>
      <c r="K116" s="532"/>
    </row>
    <row r="117" spans="1:11" ht="15" x14ac:dyDescent="0.25">
      <c r="A117" s="534" t="s">
        <v>954</v>
      </c>
      <c r="B117" s="534" t="str">
        <f>IFERROR(VLOOKUP(A117,Race_2024!A:C,3,FALSE), VLOOKUP(A117,Race_2024!A:C,3,FALSE))</f>
        <v>Equalization PY ICO</v>
      </c>
      <c r="C117" s="543" t="s">
        <v>955</v>
      </c>
      <c r="D117" s="536">
        <f>IFERROR(VLOOKUP($A117,Race_2024!A:L, 7,FALSE),0)</f>
        <v>43665.038</v>
      </c>
      <c r="E117" s="536">
        <f>IFERROR(VLOOKUP($A117,Race_2024!A:L, 9,FALSE),0)</f>
        <v>0</v>
      </c>
      <c r="F117" s="536">
        <f>IFERROR(VLOOKUP($A117,Race_2024!A:L, 8,FALSE),0)</f>
        <v>-1420.922</v>
      </c>
      <c r="G117" s="536">
        <f>IFERROR(VLOOKUP($A117,Race_2024!A:L, 10,FALSE),0)</f>
        <v>-1420.922</v>
      </c>
      <c r="H117" s="536">
        <f>IFERROR(VLOOKUP($A117,Race_2024!A:L, 11,FALSE),0)</f>
        <v>-1420.922</v>
      </c>
      <c r="I117" s="535">
        <f>IFERROR(VLOOKUP($A117,Race_2024!A:L, 12,FALSE),0)</f>
        <v>0</v>
      </c>
      <c r="J117" s="533"/>
      <c r="K117" s="532"/>
    </row>
    <row r="118" spans="1:11" ht="15" x14ac:dyDescent="0.25">
      <c r="A118" s="534" t="s">
        <v>956</v>
      </c>
      <c r="B118" s="534" t="e">
        <f>IFERROR(VLOOKUP(A118,Race_2024!A:C,3,FALSE), VLOOKUP(A118,Race_2024!A:C,3,FALSE))</f>
        <v>#N/A</v>
      </c>
      <c r="C118" s="543" t="s">
        <v>957</v>
      </c>
      <c r="D118" s="536">
        <f>IFERROR(VLOOKUP($A118,Race_2024!A:L, 7,FALSE),0)</f>
        <v>0</v>
      </c>
      <c r="E118" s="536">
        <f>IFERROR(VLOOKUP($A118,Race_2024!A:L, 9,FALSE),0)</f>
        <v>0</v>
      </c>
      <c r="F118" s="536">
        <f>IFERROR(VLOOKUP($A118,Race_2024!A:L, 8,FALSE),0)</f>
        <v>0</v>
      </c>
      <c r="G118" s="536">
        <f>IFERROR(VLOOKUP($A118,Race_2024!A:L, 10,FALSE),0)</f>
        <v>0</v>
      </c>
      <c r="H118" s="536">
        <f>IFERROR(VLOOKUP($A118,Race_2024!A:L, 11,FALSE),0)</f>
        <v>0</v>
      </c>
      <c r="I118" s="535">
        <f>IFERROR(VLOOKUP($A118,Race_2024!A:L, 12,FALSE),0)</f>
        <v>0</v>
      </c>
      <c r="J118" s="533"/>
      <c r="K118" s="532"/>
    </row>
    <row r="119" spans="1:11" ht="15" x14ac:dyDescent="0.25">
      <c r="A119" s="534" t="s">
        <v>958</v>
      </c>
      <c r="B119" s="534" t="e">
        <f>IFERROR(VLOOKUP(A119,Race_2024!A:C,3,FALSE), VLOOKUP(A119,Race_2024!A:C,3,FALSE))</f>
        <v>#N/A</v>
      </c>
      <c r="C119" s="541" t="s">
        <v>959</v>
      </c>
      <c r="D119" s="536">
        <f>IFERROR(VLOOKUP($A119,Race_2024!A:L, 7,FALSE),0)</f>
        <v>0</v>
      </c>
      <c r="E119" s="536">
        <f>IFERROR(VLOOKUP($A119,Race_2024!A:L, 9,FALSE),0)</f>
        <v>0</v>
      </c>
      <c r="F119" s="536">
        <f>IFERROR(VLOOKUP($A119,Race_2024!A:L, 8,FALSE),0)</f>
        <v>0</v>
      </c>
      <c r="G119" s="536">
        <f>IFERROR(VLOOKUP($A119,Race_2024!A:L, 10,FALSE),0)</f>
        <v>0</v>
      </c>
      <c r="H119" s="536">
        <f>IFERROR(VLOOKUP($A119,Race_2024!A:L, 11,FALSE),0)</f>
        <v>0</v>
      </c>
      <c r="I119" s="535">
        <f>IFERROR(VLOOKUP($A119,Race_2024!A:L, 12,FALSE),0)</f>
        <v>0</v>
      </c>
      <c r="J119" s="533"/>
      <c r="K119" s="532"/>
    </row>
    <row r="120" spans="1:11" ht="15" x14ac:dyDescent="0.25">
      <c r="A120" s="534" t="s">
        <v>960</v>
      </c>
      <c r="B120" s="534" t="e">
        <f>IFERROR(VLOOKUP(A120,Race_2024!A:C,3,FALSE), VLOOKUP(A120,Race_2024!A:C,3,FALSE))</f>
        <v>#N/A</v>
      </c>
      <c r="C120" s="537" t="s">
        <v>961</v>
      </c>
      <c r="D120" s="536">
        <f>IFERROR(VLOOKUP($A120,Race_2024!A:L, 7,FALSE),0)</f>
        <v>0</v>
      </c>
      <c r="E120" s="536">
        <f>IFERROR(VLOOKUP($A120,Race_2024!A:L, 9,FALSE),0)</f>
        <v>0</v>
      </c>
      <c r="F120" s="536">
        <f>IFERROR(VLOOKUP($A120,Race_2024!A:L, 8,FALSE),0)</f>
        <v>0</v>
      </c>
      <c r="G120" s="536">
        <f>IFERROR(VLOOKUP($A120,Race_2024!A:L, 10,FALSE),0)</f>
        <v>0</v>
      </c>
      <c r="H120" s="536">
        <f>IFERROR(VLOOKUP($A120,Race_2024!A:L, 11,FALSE),0)</f>
        <v>0</v>
      </c>
      <c r="I120" s="535">
        <f>IFERROR(VLOOKUP($A120,Race_2024!A:L, 12,FALSE),0)</f>
        <v>0</v>
      </c>
      <c r="J120" s="533"/>
      <c r="K120" s="532"/>
    </row>
    <row r="121" spans="1:11" ht="15" x14ac:dyDescent="0.25">
      <c r="A121" s="534" t="s">
        <v>962</v>
      </c>
      <c r="B121" s="534" t="e">
        <f>IFERROR(VLOOKUP(A121,Race_2024!A:C,3,FALSE), VLOOKUP(A121,Race_2024!A:C,3,FALSE))</f>
        <v>#N/A</v>
      </c>
      <c r="C121" s="537" t="s">
        <v>963</v>
      </c>
      <c r="D121" s="536">
        <f>IFERROR(VLOOKUP($A121,Race_2024!A:L, 7,FALSE),0)</f>
        <v>0</v>
      </c>
      <c r="E121" s="536">
        <f>IFERROR(VLOOKUP($A121,Race_2024!A:L, 9,FALSE),0)</f>
        <v>0</v>
      </c>
      <c r="F121" s="536">
        <f>IFERROR(VLOOKUP($A121,Race_2024!A:L, 8,FALSE),0)</f>
        <v>0</v>
      </c>
      <c r="G121" s="536">
        <f>IFERROR(VLOOKUP($A121,Race_2024!A:L, 10,FALSE),0)</f>
        <v>0</v>
      </c>
      <c r="H121" s="536">
        <f>IFERROR(VLOOKUP($A121,Race_2024!A:L, 11,FALSE),0)</f>
        <v>0</v>
      </c>
      <c r="I121" s="535">
        <f>IFERROR(VLOOKUP($A121,Race_2024!A:L, 12,FALSE),0)</f>
        <v>0</v>
      </c>
      <c r="J121" s="533"/>
      <c r="K121" s="532"/>
    </row>
    <row r="122" spans="1:11" ht="15" x14ac:dyDescent="0.25">
      <c r="A122" s="534" t="s">
        <v>964</v>
      </c>
      <c r="B122" s="534" t="e">
        <f>IFERROR(VLOOKUP(A122,Race_2024!A:C,3,FALSE), VLOOKUP(A122,Race_2024!A:C,3,FALSE))</f>
        <v>#N/A</v>
      </c>
      <c r="C122" s="537" t="s">
        <v>965</v>
      </c>
      <c r="D122" s="536">
        <f>IFERROR(VLOOKUP($A122,Race_2024!A:L, 7,FALSE),0)</f>
        <v>0</v>
      </c>
      <c r="E122" s="536">
        <f>IFERROR(VLOOKUP($A122,Race_2024!A:L, 9,FALSE),0)</f>
        <v>0</v>
      </c>
      <c r="F122" s="536">
        <f>IFERROR(VLOOKUP($A122,Race_2024!A:L, 8,FALSE),0)</f>
        <v>0</v>
      </c>
      <c r="G122" s="536">
        <f>IFERROR(VLOOKUP($A122,Race_2024!A:L, 10,FALSE),0)</f>
        <v>0</v>
      </c>
      <c r="H122" s="536">
        <f>IFERROR(VLOOKUP($A122,Race_2024!A:L, 11,FALSE),0)</f>
        <v>0</v>
      </c>
      <c r="I122" s="535">
        <f>IFERROR(VLOOKUP($A122,Race_2024!A:L, 12,FALSE),0)</f>
        <v>0</v>
      </c>
      <c r="J122" s="533"/>
      <c r="K122" s="532"/>
    </row>
    <row r="123" spans="1:11" ht="15" x14ac:dyDescent="0.25">
      <c r="A123" s="534" t="s">
        <v>966</v>
      </c>
      <c r="B123" s="534" t="e">
        <f>IFERROR(VLOOKUP(A123,Race_2024!A:C,3,FALSE), VLOOKUP(A123,Race_2024!A:C,3,FALSE))</f>
        <v>#N/A</v>
      </c>
      <c r="C123" s="537" t="s">
        <v>967</v>
      </c>
      <c r="D123" s="536">
        <f>IFERROR(VLOOKUP($A123,Race_2024!A:L, 7,FALSE),0)</f>
        <v>0</v>
      </c>
      <c r="E123" s="536">
        <f>IFERROR(VLOOKUP($A123,Race_2024!A:L, 9,FALSE),0)</f>
        <v>0</v>
      </c>
      <c r="F123" s="536">
        <f>IFERROR(VLOOKUP($A123,Race_2024!A:L, 8,FALSE),0)</f>
        <v>0</v>
      </c>
      <c r="G123" s="536">
        <f>IFERROR(VLOOKUP($A123,Race_2024!A:L, 10,FALSE),0)</f>
        <v>0</v>
      </c>
      <c r="H123" s="536">
        <f>IFERROR(VLOOKUP($A123,Race_2024!A:L, 11,FALSE),0)</f>
        <v>0</v>
      </c>
      <c r="I123" s="535">
        <f>IFERROR(VLOOKUP($A123,Race_2024!A:L, 12,FALSE),0)</f>
        <v>0</v>
      </c>
      <c r="J123" s="533"/>
      <c r="K123" s="532"/>
    </row>
    <row r="124" spans="1:11" ht="15" x14ac:dyDescent="0.25">
      <c r="A124" s="534" t="s">
        <v>968</v>
      </c>
      <c r="B124" s="534" t="e">
        <f>IFERROR(VLOOKUP(A124,Race_2024!A:C,3,FALSE), VLOOKUP(A124,Race_2024!A:C,3,FALSE))</f>
        <v>#N/A</v>
      </c>
      <c r="C124" s="537" t="s">
        <v>969</v>
      </c>
      <c r="D124" s="536">
        <f>IFERROR(VLOOKUP($A124,Race_2024!A:L, 7,FALSE),0)</f>
        <v>0</v>
      </c>
      <c r="E124" s="536">
        <f>IFERROR(VLOOKUP($A124,Race_2024!A:L, 9,FALSE),0)</f>
        <v>0</v>
      </c>
      <c r="F124" s="536">
        <f>IFERROR(VLOOKUP($A124,Race_2024!A:L, 8,FALSE),0)</f>
        <v>0</v>
      </c>
      <c r="G124" s="536">
        <f>IFERROR(VLOOKUP($A124,Race_2024!A:L, 10,FALSE),0)</f>
        <v>0</v>
      </c>
      <c r="H124" s="536">
        <f>IFERROR(VLOOKUP($A124,Race_2024!A:L, 11,FALSE),0)</f>
        <v>0</v>
      </c>
      <c r="I124" s="535">
        <f>IFERROR(VLOOKUP($A124,Race_2024!A:L, 12,FALSE),0)</f>
        <v>0</v>
      </c>
      <c r="J124" s="533"/>
      <c r="K124" s="532"/>
    </row>
    <row r="125" spans="1:11" ht="15" x14ac:dyDescent="0.25">
      <c r="A125" s="534" t="s">
        <v>970</v>
      </c>
      <c r="B125" s="534" t="str">
        <f>IFERROR(VLOOKUP(A125,Race_2024!A:C,3,FALSE), VLOOKUP(A125,Race_2024!A:C,3,FALSE))</f>
        <v>Other op. inc./ exp.</v>
      </c>
      <c r="C125" s="537" t="s">
        <v>971</v>
      </c>
      <c r="D125" s="536">
        <f>IFERROR(VLOOKUP($A125,Race_2024!A:L, 7,FALSE),0)</f>
        <v>17920.748</v>
      </c>
      <c r="E125" s="536">
        <f>IFERROR(VLOOKUP($A125,Race_2024!A:L, 9,FALSE),0)</f>
        <v>0</v>
      </c>
      <c r="F125" s="536">
        <f>IFERROR(VLOOKUP($A125,Race_2024!A:L, 8,FALSE),0)</f>
        <v>652.28599999999994</v>
      </c>
      <c r="G125" s="536">
        <f>IFERROR(VLOOKUP($A125,Race_2024!A:L, 10,FALSE),0)</f>
        <v>27.66</v>
      </c>
      <c r="H125" s="536">
        <f>IFERROR(VLOOKUP($A125,Race_2024!A:L, 11,FALSE),0)</f>
        <v>27.66</v>
      </c>
      <c r="I125" s="535">
        <f>IFERROR(VLOOKUP($A125,Race_2024!A:L, 12,FALSE),0)</f>
        <v>0</v>
      </c>
      <c r="J125" s="542"/>
      <c r="K125" s="532"/>
    </row>
    <row r="126" spans="1:11" ht="15" x14ac:dyDescent="0.25">
      <c r="A126" s="534" t="s">
        <v>972</v>
      </c>
      <c r="B126" s="534" t="str">
        <f>IFERROR(VLOOKUP(A126,Race_2024!A:C,3,FALSE), VLOOKUP(A126,Race_2024!A:C,3,FALSE))</f>
        <v>Other op. exp. ext.</v>
      </c>
      <c r="C126" s="541" t="s">
        <v>973</v>
      </c>
      <c r="D126" s="536">
        <f>IFERROR(VLOOKUP($A126,Race_2024!A:L, 7,FALSE),0)</f>
        <v>-603.226</v>
      </c>
      <c r="E126" s="536">
        <f>IFERROR(VLOOKUP($A126,Race_2024!A:L, 9,FALSE),0)</f>
        <v>0</v>
      </c>
      <c r="F126" s="536">
        <f>IFERROR(VLOOKUP($A126,Race_2024!A:L, 8,FALSE),0)</f>
        <v>-8.4489999999999998</v>
      </c>
      <c r="G126" s="536">
        <f>IFERROR(VLOOKUP($A126,Race_2024!A:L, 10,FALSE),0)</f>
        <v>-3.802</v>
      </c>
      <c r="H126" s="536">
        <f>IFERROR(VLOOKUP($A126,Race_2024!A:L, 11,FALSE),0)</f>
        <v>-3.802</v>
      </c>
      <c r="I126" s="535">
        <f>IFERROR(VLOOKUP($A126,Race_2024!A:L, 12,FALSE),0)</f>
        <v>0</v>
      </c>
      <c r="J126" s="542"/>
      <c r="K126" s="532"/>
    </row>
    <row r="127" spans="1:11" ht="15" x14ac:dyDescent="0.25">
      <c r="A127" s="534" t="s">
        <v>974</v>
      </c>
      <c r="B127" s="534" t="e">
        <f>IFERROR(VLOOKUP(A127,Race_2024!A:C,3,FALSE), VLOOKUP(A127,Race_2024!A:C,3,FALSE))</f>
        <v>#N/A</v>
      </c>
      <c r="C127" s="541" t="s">
        <v>975</v>
      </c>
      <c r="D127" s="536">
        <f>IFERROR(VLOOKUP($A127,Race_2024!A:L, 7,FALSE),0)</f>
        <v>0</v>
      </c>
      <c r="E127" s="536">
        <f>IFERROR(VLOOKUP($A127,Race_2024!A:L, 9,FALSE),0)</f>
        <v>0</v>
      </c>
      <c r="F127" s="536">
        <f>IFERROR(VLOOKUP($A127,Race_2024!A:L, 8,FALSE),0)</f>
        <v>0</v>
      </c>
      <c r="G127" s="536">
        <f>IFERROR(VLOOKUP($A127,Race_2024!A:L, 10,FALSE),0)</f>
        <v>0</v>
      </c>
      <c r="H127" s="536">
        <f>IFERROR(VLOOKUP($A127,Race_2024!A:L, 11,FALSE),0)</f>
        <v>0</v>
      </c>
      <c r="I127" s="535">
        <f>IFERROR(VLOOKUP($A127,Race_2024!A:L, 12,FALSE),0)</f>
        <v>0</v>
      </c>
      <c r="J127" s="542"/>
      <c r="K127" s="532"/>
    </row>
    <row r="128" spans="1:11" ht="15" x14ac:dyDescent="0.25">
      <c r="A128" s="534" t="s">
        <v>976</v>
      </c>
      <c r="B128" s="534" t="e">
        <f>IFERROR(VLOOKUP(A128,Race_2024!A:C,3,FALSE), VLOOKUP(A128,Race_2024!A:C,3,FALSE))</f>
        <v>#N/A</v>
      </c>
      <c r="C128" s="541" t="s">
        <v>977</v>
      </c>
      <c r="D128" s="536">
        <f>IFERROR(VLOOKUP($A128,Race_2024!A:L, 7,FALSE),0)</f>
        <v>0</v>
      </c>
      <c r="E128" s="536">
        <f>IFERROR(VLOOKUP($A128,Race_2024!A:L, 9,FALSE),0)</f>
        <v>0</v>
      </c>
      <c r="F128" s="536">
        <f>IFERROR(VLOOKUP($A128,Race_2024!A:L, 8,FALSE),0)</f>
        <v>0</v>
      </c>
      <c r="G128" s="536">
        <f>IFERROR(VLOOKUP($A128,Race_2024!A:L, 10,FALSE),0)</f>
        <v>0</v>
      </c>
      <c r="H128" s="536">
        <f>IFERROR(VLOOKUP($A128,Race_2024!A:L, 11,FALSE),0)</f>
        <v>0</v>
      </c>
      <c r="I128" s="535">
        <f>IFERROR(VLOOKUP($A128,Race_2024!A:L, 12,FALSE),0)</f>
        <v>0</v>
      </c>
      <c r="J128" s="533"/>
      <c r="K128" s="532"/>
    </row>
    <row r="129" spans="1:11" ht="15" x14ac:dyDescent="0.25">
      <c r="A129" s="534" t="s">
        <v>978</v>
      </c>
      <c r="B129" s="534" t="str">
        <f>IFERROR(VLOOKUP(A129,Race_2024!A:C,3,FALSE), VLOOKUP(A129,Race_2024!A:C,3,FALSE))</f>
        <v>Other op. inc. ext.</v>
      </c>
      <c r="C129" s="541" t="s">
        <v>979</v>
      </c>
      <c r="D129" s="536">
        <f>IFERROR(VLOOKUP($A129,Race_2024!A:L, 7,FALSE),0)</f>
        <v>208.70699999999999</v>
      </c>
      <c r="E129" s="536">
        <f>IFERROR(VLOOKUP($A129,Race_2024!A:L, 9,FALSE),0)</f>
        <v>0</v>
      </c>
      <c r="F129" s="536">
        <f>IFERROR(VLOOKUP($A129,Race_2024!A:L, 8,FALSE),0)</f>
        <v>423.452</v>
      </c>
      <c r="G129" s="536">
        <f>IFERROR(VLOOKUP($A129,Race_2024!A:L, 10,FALSE),0)</f>
        <v>31.462</v>
      </c>
      <c r="H129" s="536">
        <f>IFERROR(VLOOKUP($A129,Race_2024!A:L, 11,FALSE),0)</f>
        <v>31.462</v>
      </c>
      <c r="I129" s="535">
        <f>IFERROR(VLOOKUP($A129,Race_2024!A:L, 12,FALSE),0)</f>
        <v>0</v>
      </c>
      <c r="J129" s="533"/>
      <c r="K129" s="532"/>
    </row>
    <row r="130" spans="1:11" ht="15" x14ac:dyDescent="0.25">
      <c r="A130" s="534" t="s">
        <v>980</v>
      </c>
      <c r="B130" s="534" t="e">
        <f>IFERROR(VLOOKUP(A130,Race_2024!A:C,3,FALSE), VLOOKUP(A130,Race_2024!A:C,3,FALSE))</f>
        <v>#N/A</v>
      </c>
      <c r="C130" s="541" t="s">
        <v>981</v>
      </c>
      <c r="D130" s="536">
        <f>IFERROR(VLOOKUP($A130,Race_2024!A:L, 7,FALSE),0)</f>
        <v>0</v>
      </c>
      <c r="E130" s="536">
        <f>IFERROR(VLOOKUP($A130,Race_2024!A:L, 9,FALSE),0)</f>
        <v>0</v>
      </c>
      <c r="F130" s="536">
        <f>IFERROR(VLOOKUP($A130,Race_2024!A:L, 8,FALSE),0)</f>
        <v>0</v>
      </c>
      <c r="G130" s="536">
        <f>IFERROR(VLOOKUP($A130,Race_2024!A:L, 10,FALSE),0)</f>
        <v>0</v>
      </c>
      <c r="H130" s="536">
        <f>IFERROR(VLOOKUP($A130,Race_2024!A:L, 11,FALSE),0)</f>
        <v>0</v>
      </c>
      <c r="I130" s="535">
        <f>IFERROR(VLOOKUP($A130,Race_2024!A:L, 12,FALSE),0)</f>
        <v>0</v>
      </c>
      <c r="J130" s="533"/>
      <c r="K130" s="532"/>
    </row>
    <row r="131" spans="1:11" ht="15" x14ac:dyDescent="0.25">
      <c r="A131" s="534" t="s">
        <v>982</v>
      </c>
      <c r="B131" s="534" t="str">
        <f>IFERROR(VLOOKUP(A131,Race_2024!A:C,3,FALSE), VLOOKUP(A131,Race_2024!A:C,3,FALSE))</f>
        <v>Oth. op. inc. re.pa.</v>
      </c>
      <c r="C131" s="541" t="s">
        <v>983</v>
      </c>
      <c r="D131" s="536">
        <f>IFERROR(VLOOKUP($A131,Race_2024!A:L, 7,FALSE),0)</f>
        <v>18315.267</v>
      </c>
      <c r="E131" s="536">
        <f>IFERROR(VLOOKUP($A131,Race_2024!A:L, 9,FALSE),0)</f>
        <v>0</v>
      </c>
      <c r="F131" s="536">
        <f>IFERROR(VLOOKUP($A131,Race_2024!A:L, 8,FALSE),0)</f>
        <v>237.28299999999999</v>
      </c>
      <c r="G131" s="536">
        <f>IFERROR(VLOOKUP($A131,Race_2024!A:L, 10,FALSE),0)</f>
        <v>0</v>
      </c>
      <c r="H131" s="536">
        <f>IFERROR(VLOOKUP($A131,Race_2024!A:L, 11,FALSE),0)</f>
        <v>0</v>
      </c>
      <c r="I131" s="535">
        <f>IFERROR(VLOOKUP($A131,Race_2024!A:L, 12,FALSE),0)</f>
        <v>0</v>
      </c>
      <c r="J131" s="533"/>
      <c r="K131" s="532"/>
    </row>
    <row r="132" spans="1:11" ht="15" x14ac:dyDescent="0.25">
      <c r="A132" s="534" t="s">
        <v>984</v>
      </c>
      <c r="B132" s="534" t="e">
        <f>IFERROR(VLOOKUP(A132,Race_2024!A:C,3,FALSE), VLOOKUP(A132,Race_2024!A:C,3,FALSE))</f>
        <v>#N/A</v>
      </c>
      <c r="C132" s="540" t="s">
        <v>985</v>
      </c>
      <c r="D132" s="539">
        <f>IFERROR(VLOOKUP($A132,Race_2024!A:L, 7,FALSE),0)</f>
        <v>0</v>
      </c>
      <c r="E132" s="539">
        <f>IFERROR(VLOOKUP($A132,Race_2024!A:L, 9,FALSE),0)</f>
        <v>0</v>
      </c>
      <c r="F132" s="539">
        <f>IFERROR(VLOOKUP($A132,Race_2024!A:L, 8,FALSE),0)</f>
        <v>0</v>
      </c>
      <c r="G132" s="539">
        <f>IFERROR(VLOOKUP($A132,Race_2024!A:L, 10,FALSE),0)</f>
        <v>0</v>
      </c>
      <c r="H132" s="539">
        <f>IFERROR(VLOOKUP($A132,Race_2024!A:L, 11,FALSE),0)</f>
        <v>0</v>
      </c>
      <c r="I132" s="538">
        <f>IFERROR(VLOOKUP($A132,Race_2024!A:L, 12,FALSE),0)</f>
        <v>0</v>
      </c>
      <c r="J132" s="533"/>
      <c r="K132" s="532"/>
    </row>
    <row r="133" spans="1:11" ht="15" x14ac:dyDescent="0.25">
      <c r="A133" s="534" t="s">
        <v>986</v>
      </c>
      <c r="B133" s="534" t="e">
        <f>IFERROR(VLOOKUP(A133,Race_2024!A:C,3,FALSE), VLOOKUP(A133,Race_2024!A:C,3,FALSE))</f>
        <v>#N/A</v>
      </c>
      <c r="C133" s="537" t="s">
        <v>987</v>
      </c>
      <c r="D133" s="536">
        <f>IFERROR(VLOOKUP($A133,Race_2024!A:L, 7,FALSE),0)</f>
        <v>0</v>
      </c>
      <c r="E133" s="536">
        <f>IFERROR(VLOOKUP($A133,Race_2024!A:L, 9,FALSE),0)</f>
        <v>0</v>
      </c>
      <c r="F133" s="536">
        <f>IFERROR(VLOOKUP($A133,Race_2024!A:L, 8,FALSE),0)</f>
        <v>0</v>
      </c>
      <c r="G133" s="536">
        <f>IFERROR(VLOOKUP($A133,Race_2024!A:L, 10,FALSE),0)</f>
        <v>0</v>
      </c>
      <c r="H133" s="536">
        <f>IFERROR(VLOOKUP($A133,Race_2024!A:L, 11,FALSE),0)</f>
        <v>0</v>
      </c>
      <c r="I133" s="535">
        <f>IFERROR(VLOOKUP($A133,Race_2024!A:L, 12,FALSE),0)</f>
        <v>0</v>
      </c>
      <c r="J133" s="533"/>
      <c r="K133" s="532"/>
    </row>
    <row r="134" spans="1:11" ht="15" x14ac:dyDescent="0.25">
      <c r="A134" s="603" t="s">
        <v>988</v>
      </c>
      <c r="B134" s="534" t="str">
        <f>IFERROR(VLOOKUP(A134,Race_2024!A:C,3,FALSE), VLOOKUP(A134,Race_2024!A:C,3,FALSE))</f>
        <v>NOP</v>
      </c>
      <c r="C134" s="604" t="s">
        <v>989</v>
      </c>
      <c r="D134" s="556">
        <f>IFERROR(VLOOKUP($A134,Race_2024!A:L, 7,FALSE),0)</f>
        <v>-472069.7</v>
      </c>
      <c r="E134" s="556">
        <f>IFERROR(VLOOKUP($A134,Race_2024!A:L, 9,FALSE),0)</f>
        <v>-625800.848</v>
      </c>
      <c r="F134" s="556">
        <f>IFERROR(VLOOKUP($A134,Race_2024!A:L, 8,FALSE),0)</f>
        <v>142190.236</v>
      </c>
      <c r="G134" s="556">
        <f>IFERROR(VLOOKUP($A134,Race_2024!A:L, 10,FALSE),0)</f>
        <v>1973986.8910000001</v>
      </c>
      <c r="H134" s="556">
        <f>IFERROR(VLOOKUP($A134,Race_2024!A:L, 11,FALSE),0)</f>
        <v>1601099.409</v>
      </c>
      <c r="I134" s="555">
        <f>IFERROR(VLOOKUP($A134,Race_2024!A:L, 12,FALSE),0)</f>
        <v>1776712.9140000001</v>
      </c>
      <c r="J134" s="533"/>
      <c r="K134" s="532"/>
    </row>
    <row r="135" spans="1:11" ht="14.45" customHeight="1" x14ac:dyDescent="0.25">
      <c r="A135" s="534" t="s">
        <v>990</v>
      </c>
      <c r="B135" s="534" t="e">
        <f>IFERROR(VLOOKUP(A135,Race_2024!A:C,3,FALSE), VLOOKUP(A135,Race_2024!A:C,3,FALSE))</f>
        <v>#N/A</v>
      </c>
      <c r="C135" s="540" t="s">
        <v>991</v>
      </c>
      <c r="D135" s="539">
        <f>IFERROR(VLOOKUP($A135,Race_2024!A:L, 7,FALSE),0)</f>
        <v>0</v>
      </c>
      <c r="E135" s="539">
        <f>IFERROR(VLOOKUP($A135,Race_2024!A:L, 9,FALSE),0)</f>
        <v>0</v>
      </c>
      <c r="F135" s="539">
        <f>IFERROR(VLOOKUP($A135,Race_2024!A:L, 8,FALSE),0)</f>
        <v>0</v>
      </c>
      <c r="G135" s="539">
        <f>IFERROR(VLOOKUP($A135,Race_2024!A:L, 10,FALSE),0)</f>
        <v>0</v>
      </c>
      <c r="H135" s="539">
        <f>IFERROR(VLOOKUP($A135,Race_2024!A:L, 11,FALSE),0)</f>
        <v>0</v>
      </c>
      <c r="I135" s="538">
        <f>IFERROR(VLOOKUP($A135,Race_2024!A:L, 12,FALSE),0)</f>
        <v>0</v>
      </c>
      <c r="J135" s="533"/>
      <c r="K135" s="532"/>
    </row>
    <row r="136" spans="1:11" ht="14.45" customHeight="1" x14ac:dyDescent="0.25">
      <c r="A136" s="534" t="s">
        <v>992</v>
      </c>
      <c r="B136" s="534" t="e">
        <f>IFERROR(VLOOKUP(A136,Race_2024!A:C,3,FALSE), VLOOKUP(A136,Race_2024!A:C,3,FALSE))</f>
        <v>#N/A</v>
      </c>
      <c r="C136" s="537" t="s">
        <v>993</v>
      </c>
      <c r="D136" s="536">
        <f>IFERROR(VLOOKUP($A136,Race_2024!A:L, 7,FALSE),0)</f>
        <v>0</v>
      </c>
      <c r="E136" s="536">
        <f>IFERROR(VLOOKUP($A136,Race_2024!A:L, 9,FALSE),0)</f>
        <v>0</v>
      </c>
      <c r="F136" s="536">
        <f>IFERROR(VLOOKUP($A136,Race_2024!A:L, 8,FALSE),0)</f>
        <v>0</v>
      </c>
      <c r="G136" s="536">
        <f>IFERROR(VLOOKUP($A136,Race_2024!A:L, 10,FALSE),0)</f>
        <v>0</v>
      </c>
      <c r="H136" s="536">
        <f>IFERROR(VLOOKUP($A136,Race_2024!A:L, 11,FALSE),0)</f>
        <v>0</v>
      </c>
      <c r="I136" s="535">
        <f>IFERROR(VLOOKUP($A136,Race_2024!A:L, 12,FALSE),0)</f>
        <v>0</v>
      </c>
      <c r="J136" s="533"/>
      <c r="K136" s="532"/>
    </row>
    <row r="137" spans="1:11" ht="15" x14ac:dyDescent="0.25">
      <c r="A137" s="534" t="s">
        <v>994</v>
      </c>
      <c r="B137" s="534" t="e">
        <f>IFERROR(VLOOKUP(A137,Race_2024!A:C,3,FALSE), VLOOKUP(A137,Race_2024!A:C,3,FALSE))</f>
        <v>#N/A</v>
      </c>
      <c r="C137" s="537" t="s">
        <v>205</v>
      </c>
      <c r="D137" s="536">
        <f>IFERROR(VLOOKUP($A137,Race_2024!A:L, 7,FALSE),0)</f>
        <v>0</v>
      </c>
      <c r="E137" s="536">
        <f>IFERROR(VLOOKUP($A137,Race_2024!A:L, 9,FALSE),0)</f>
        <v>0</v>
      </c>
      <c r="F137" s="536">
        <f>IFERROR(VLOOKUP($A137,Race_2024!A:L, 8,FALSE),0)</f>
        <v>0</v>
      </c>
      <c r="G137" s="536">
        <f>IFERROR(VLOOKUP($A137,Race_2024!A:L, 10,FALSE),0)</f>
        <v>0</v>
      </c>
      <c r="H137" s="536">
        <f>IFERROR(VLOOKUP($A137,Race_2024!A:L, 11,FALSE),0)</f>
        <v>0</v>
      </c>
      <c r="I137" s="535">
        <f>IFERROR(VLOOKUP($A137,Race_2024!A:L, 12,FALSE),0)</f>
        <v>0</v>
      </c>
      <c r="J137" s="532"/>
      <c r="K137" s="532"/>
    </row>
    <row r="138" spans="1:11" ht="15" x14ac:dyDescent="0.25">
      <c r="A138" s="534" t="s">
        <v>995</v>
      </c>
      <c r="B138" s="534" t="e">
        <f>IFERROR(VLOOKUP(A138,Race_2024!A:C,3,FALSE), VLOOKUP(A138,Race_2024!A:C,3,FALSE))</f>
        <v>#N/A</v>
      </c>
      <c r="C138" s="537" t="s">
        <v>996</v>
      </c>
      <c r="D138" s="536">
        <f>IFERROR(VLOOKUP($A138,Race_2024!A:L, 7,FALSE),0)</f>
        <v>0</v>
      </c>
      <c r="E138" s="536">
        <f>IFERROR(VLOOKUP($A138,Race_2024!A:L, 9,FALSE),0)</f>
        <v>0</v>
      </c>
      <c r="F138" s="536">
        <f>IFERROR(VLOOKUP($A138,Race_2024!A:L, 8,FALSE),0)</f>
        <v>0</v>
      </c>
      <c r="G138" s="536">
        <f>IFERROR(VLOOKUP($A138,Race_2024!A:L, 10,FALSE),0)</f>
        <v>0</v>
      </c>
      <c r="H138" s="536">
        <f>IFERROR(VLOOKUP($A138,Race_2024!A:L, 11,FALSE),0)</f>
        <v>0</v>
      </c>
      <c r="I138" s="535">
        <f>IFERROR(VLOOKUP($A138,Race_2024!A:L, 12,FALSE),0)</f>
        <v>0</v>
      </c>
      <c r="J138" s="532"/>
      <c r="K138" s="532"/>
    </row>
    <row r="139" spans="1:11" ht="15" x14ac:dyDescent="0.25">
      <c r="A139" s="534" t="s">
        <v>997</v>
      </c>
      <c r="B139" s="534" t="e">
        <f>IFERROR(VLOOKUP(A139,Race_2024!A:C,3,FALSE), VLOOKUP(A139,Race_2024!A:C,3,FALSE))</f>
        <v>#N/A</v>
      </c>
      <c r="C139" s="537" t="s">
        <v>998</v>
      </c>
      <c r="D139" s="536">
        <f>IFERROR(VLOOKUP($A139,Race_2024!A:L, 7,FALSE),0)</f>
        <v>0</v>
      </c>
      <c r="E139" s="536">
        <f>IFERROR(VLOOKUP($A139,Race_2024!A:L, 9,FALSE),0)</f>
        <v>0</v>
      </c>
      <c r="F139" s="536">
        <f>IFERROR(VLOOKUP($A139,Race_2024!A:L, 8,FALSE),0)</f>
        <v>0</v>
      </c>
      <c r="G139" s="536">
        <f>IFERROR(VLOOKUP($A139,Race_2024!A:L, 10,FALSE),0)</f>
        <v>0</v>
      </c>
      <c r="H139" s="536">
        <f>IFERROR(VLOOKUP($A139,Race_2024!A:L, 11,FALSE),0)</f>
        <v>0</v>
      </c>
      <c r="I139" s="535">
        <f>IFERROR(VLOOKUP($A139,Race_2024!A:L, 12,FALSE),0)</f>
        <v>0</v>
      </c>
      <c r="J139" s="532"/>
      <c r="K139" s="532"/>
    </row>
    <row r="140" spans="1:11" ht="15" x14ac:dyDescent="0.25">
      <c r="A140" s="534" t="s">
        <v>999</v>
      </c>
      <c r="B140" s="534" t="e">
        <f>IFERROR(VLOOKUP(A140,Race_2024!A:C,3,FALSE), VLOOKUP(A140,Race_2024!A:C,3,FALSE))</f>
        <v>#N/A</v>
      </c>
      <c r="C140" s="537" t="s">
        <v>1000</v>
      </c>
      <c r="D140" s="536">
        <f>IFERROR(VLOOKUP($A140,Race_2024!A:L, 7,FALSE),0)</f>
        <v>0</v>
      </c>
      <c r="E140" s="536">
        <f>IFERROR(VLOOKUP($A140,Race_2024!A:L, 9,FALSE),0)</f>
        <v>0</v>
      </c>
      <c r="F140" s="536">
        <f>IFERROR(VLOOKUP($A140,Race_2024!A:L, 8,FALSE),0)</f>
        <v>0</v>
      </c>
      <c r="G140" s="536">
        <f>IFERROR(VLOOKUP($A140,Race_2024!A:L, 10,FALSE),0)</f>
        <v>0</v>
      </c>
      <c r="H140" s="536">
        <f>IFERROR(VLOOKUP($A140,Race_2024!A:L, 11,FALSE),0)</f>
        <v>0</v>
      </c>
      <c r="I140" s="535">
        <f>IFERROR(VLOOKUP($A140,Race_2024!A:L, 12,FALSE),0)</f>
        <v>0</v>
      </c>
      <c r="J140" s="532"/>
      <c r="K140" s="532"/>
    </row>
    <row r="141" spans="1:11" ht="15" x14ac:dyDescent="0.25">
      <c r="A141" s="534" t="s">
        <v>1001</v>
      </c>
      <c r="B141" s="534" t="e">
        <f>IFERROR(VLOOKUP(A141,Race_2024!A:C,3,FALSE), VLOOKUP(A141,Race_2024!A:C,3,FALSE))</f>
        <v>#N/A</v>
      </c>
      <c r="C141" s="537" t="s">
        <v>1002</v>
      </c>
      <c r="D141" s="536">
        <f>IFERROR(VLOOKUP($A141,Race_2024!A:L, 7,FALSE),0)</f>
        <v>0</v>
      </c>
      <c r="E141" s="536">
        <f>IFERROR(VLOOKUP($A141,Race_2024!A:L, 9,FALSE),0)</f>
        <v>0</v>
      </c>
      <c r="F141" s="536">
        <f>IFERROR(VLOOKUP($A141,Race_2024!A:L, 8,FALSE),0)</f>
        <v>0</v>
      </c>
      <c r="G141" s="536">
        <f>IFERROR(VLOOKUP($A141,Race_2024!A:L, 10,FALSE),0)</f>
        <v>0</v>
      </c>
      <c r="H141" s="536">
        <f>IFERROR(VLOOKUP($A141,Race_2024!A:L, 11,FALSE),0)</f>
        <v>0</v>
      </c>
      <c r="I141" s="535">
        <f>IFERROR(VLOOKUP($A141,Race_2024!A:L, 12,FALSE),0)</f>
        <v>0</v>
      </c>
      <c r="J141" s="532"/>
      <c r="K141" s="532"/>
    </row>
    <row r="142" spans="1:11" ht="15" x14ac:dyDescent="0.25">
      <c r="A142" s="534" t="s">
        <v>1003</v>
      </c>
      <c r="B142" s="534" t="e">
        <f>IFERROR(VLOOKUP(A142,Race_2024!A:C,3,FALSE), VLOOKUP(A142,Race_2024!A:C,3,FALSE))</f>
        <v>#N/A</v>
      </c>
      <c r="C142" s="537" t="s">
        <v>1004</v>
      </c>
      <c r="D142" s="536">
        <f>IFERROR(VLOOKUP($A142,Race_2024!A:L, 7,FALSE),0)</f>
        <v>0</v>
      </c>
      <c r="E142" s="536">
        <f>IFERROR(VLOOKUP($A142,Race_2024!A:L, 9,FALSE),0)</f>
        <v>0</v>
      </c>
      <c r="F142" s="536">
        <f>IFERROR(VLOOKUP($A142,Race_2024!A:L, 8,FALSE),0)</f>
        <v>0</v>
      </c>
      <c r="G142" s="536">
        <f>IFERROR(VLOOKUP($A142,Race_2024!A:L, 10,FALSE),0)</f>
        <v>0</v>
      </c>
      <c r="H142" s="536">
        <f>IFERROR(VLOOKUP($A142,Race_2024!A:L, 11,FALSE),0)</f>
        <v>0</v>
      </c>
      <c r="I142" s="535">
        <f>IFERROR(VLOOKUP($A142,Race_2024!A:L, 12,FALSE),0)</f>
        <v>0</v>
      </c>
      <c r="J142" s="532"/>
      <c r="K142" s="532"/>
    </row>
    <row r="143" spans="1:11" ht="15" x14ac:dyDescent="0.25">
      <c r="A143" s="534" t="s">
        <v>1005</v>
      </c>
      <c r="B143" s="534" t="e">
        <f>IFERROR(VLOOKUP(A143,Race_2024!A:C,3,FALSE), VLOOKUP(A143,Race_2024!A:C,3,FALSE))</f>
        <v>#N/A</v>
      </c>
      <c r="C143" s="537" t="s">
        <v>1006</v>
      </c>
      <c r="D143" s="536">
        <f>IFERROR(VLOOKUP($A143,Race_2024!A:L, 7,FALSE),0)</f>
        <v>0</v>
      </c>
      <c r="E143" s="536">
        <f>IFERROR(VLOOKUP($A143,Race_2024!A:L, 9,FALSE),0)</f>
        <v>0</v>
      </c>
      <c r="F143" s="536">
        <f>IFERROR(VLOOKUP($A143,Race_2024!A:L, 8,FALSE),0)</f>
        <v>0</v>
      </c>
      <c r="G143" s="536">
        <f>IFERROR(VLOOKUP($A143,Race_2024!A:L, 10,FALSE),0)</f>
        <v>0</v>
      </c>
      <c r="H143" s="536">
        <f>IFERROR(VLOOKUP($A143,Race_2024!A:L, 11,FALSE),0)</f>
        <v>0</v>
      </c>
      <c r="I143" s="535">
        <f>IFERROR(VLOOKUP($A143,Race_2024!A:L, 12,FALSE),0)</f>
        <v>0</v>
      </c>
      <c r="J143" s="532"/>
      <c r="K143" s="532"/>
    </row>
    <row r="144" spans="1:11" ht="15" x14ac:dyDescent="0.25">
      <c r="A144" s="534" t="s">
        <v>1007</v>
      </c>
      <c r="B144" s="534" t="e">
        <f>IFERROR(VLOOKUP(A144,Race_2024!A:C,3,FALSE), VLOOKUP(A144,Race_2024!A:C,3,FALSE))</f>
        <v>#N/A</v>
      </c>
      <c r="C144" s="537" t="s">
        <v>1008</v>
      </c>
      <c r="D144" s="536">
        <f>IFERROR(VLOOKUP($A144,Race_2024!A:L, 7,FALSE),0)</f>
        <v>0</v>
      </c>
      <c r="E144" s="536">
        <f>IFERROR(VLOOKUP($A144,Race_2024!A:L, 9,FALSE),0)</f>
        <v>0</v>
      </c>
      <c r="F144" s="536">
        <f>IFERROR(VLOOKUP($A144,Race_2024!A:L, 8,FALSE),0)</f>
        <v>0</v>
      </c>
      <c r="G144" s="536">
        <f>IFERROR(VLOOKUP($A144,Race_2024!A:L, 10,FALSE),0)</f>
        <v>0</v>
      </c>
      <c r="H144" s="536">
        <f>IFERROR(VLOOKUP($A144,Race_2024!A:L, 11,FALSE),0)</f>
        <v>0</v>
      </c>
      <c r="I144" s="535">
        <f>IFERROR(VLOOKUP($A144,Race_2024!A:L, 12,FALSE),0)</f>
        <v>0</v>
      </c>
      <c r="J144" s="532"/>
      <c r="K144" s="532"/>
    </row>
    <row r="145" spans="1:11" ht="15" x14ac:dyDescent="0.25">
      <c r="A145" s="534" t="s">
        <v>1009</v>
      </c>
      <c r="B145" s="534" t="e">
        <f>IFERROR(VLOOKUP(A145,Race_2024!A:C,3,FALSE), VLOOKUP(A145,Race_2024!A:C,3,FALSE))</f>
        <v>#N/A</v>
      </c>
      <c r="C145" s="537" t="s">
        <v>1010</v>
      </c>
      <c r="D145" s="536">
        <f>IFERROR(VLOOKUP($A145,Race_2024!A:L, 7,FALSE),0)</f>
        <v>0</v>
      </c>
      <c r="E145" s="536">
        <f>IFERROR(VLOOKUP($A145,Race_2024!A:L, 9,FALSE),0)</f>
        <v>0</v>
      </c>
      <c r="F145" s="536">
        <f>IFERROR(VLOOKUP($A145,Race_2024!A:L, 8,FALSE),0)</f>
        <v>0</v>
      </c>
      <c r="G145" s="536">
        <f>IFERROR(VLOOKUP($A145,Race_2024!A:L, 10,FALSE),0)</f>
        <v>0</v>
      </c>
      <c r="H145" s="536">
        <f>IFERROR(VLOOKUP($A145,Race_2024!A:L, 11,FALSE),0)</f>
        <v>0</v>
      </c>
      <c r="I145" s="535">
        <f>IFERROR(VLOOKUP($A145,Race_2024!A:L, 12,FALSE),0)</f>
        <v>0</v>
      </c>
      <c r="J145" s="532"/>
      <c r="K145" s="532"/>
    </row>
    <row r="146" spans="1:11" ht="15" x14ac:dyDescent="0.25">
      <c r="A146" s="534" t="s">
        <v>1011</v>
      </c>
      <c r="B146" s="534" t="e">
        <f>IFERROR(VLOOKUP(A146,Race_2024!A:C,3,FALSE), VLOOKUP(A146,Race_2024!A:C,3,FALSE))</f>
        <v>#N/A</v>
      </c>
      <c r="C146" s="537" t="s">
        <v>1012</v>
      </c>
      <c r="D146" s="536">
        <f>IFERROR(VLOOKUP($A146,Race_2024!A:L, 7,FALSE),0)</f>
        <v>0</v>
      </c>
      <c r="E146" s="536">
        <f>IFERROR(VLOOKUP($A146,Race_2024!A:L, 9,FALSE),0)</f>
        <v>0</v>
      </c>
      <c r="F146" s="536">
        <f>IFERROR(VLOOKUP($A146,Race_2024!A:L, 8,FALSE),0)</f>
        <v>0</v>
      </c>
      <c r="G146" s="536">
        <f>IFERROR(VLOOKUP($A146,Race_2024!A:L, 10,FALSE),0)</f>
        <v>0</v>
      </c>
      <c r="H146" s="536">
        <f>IFERROR(VLOOKUP($A146,Race_2024!A:L, 11,FALSE),0)</f>
        <v>0</v>
      </c>
      <c r="I146" s="535">
        <f>IFERROR(VLOOKUP($A146,Race_2024!A:L, 12,FALSE),0)</f>
        <v>0</v>
      </c>
      <c r="J146" s="532"/>
      <c r="K146" s="532"/>
    </row>
    <row r="147" spans="1:11" ht="15" x14ac:dyDescent="0.25">
      <c r="A147" s="603" t="s">
        <v>1013</v>
      </c>
      <c r="B147" s="534" t="str">
        <f>IFERROR(VLOOKUP(A147,Race_2024!A:C,3,FALSE), VLOOKUP(A147,Race_2024!A:C,3,FALSE))</f>
        <v>EBIT</v>
      </c>
      <c r="C147" s="605" t="s">
        <v>1014</v>
      </c>
      <c r="D147" s="606">
        <f>IFERROR(VLOOKUP($A147,Race_2024!A:L, 7,FALSE),0)</f>
        <v>-472069.7</v>
      </c>
      <c r="E147" s="606">
        <f>IFERROR(VLOOKUP($A147,Race_2024!A:L, 9,FALSE),0)</f>
        <v>-625800.848</v>
      </c>
      <c r="F147" s="606">
        <f>IFERROR(VLOOKUP($A147,Race_2024!A:L, 8,FALSE),0)</f>
        <v>142190.236</v>
      </c>
      <c r="G147" s="606">
        <f>IFERROR(VLOOKUP($A147,Race_2024!A:L, 10,FALSE),0)</f>
        <v>1973986.8910000001</v>
      </c>
      <c r="H147" s="606">
        <f>IFERROR(VLOOKUP($A147,Race_2024!A:L, 11,FALSE),0)</f>
        <v>1601099.409</v>
      </c>
      <c r="I147" s="607">
        <f>IFERROR(VLOOKUP($A147,Race_2024!A:L, 12,FALSE),0)</f>
        <v>1776712.9140000001</v>
      </c>
      <c r="J147" s="532"/>
      <c r="K147" s="532"/>
    </row>
  </sheetData>
  <autoFilter ref="C7:I7" xr:uid="{67A75636-6977-42F1-9840-22E76F5961A4}"/>
  <mergeCells count="2">
    <mergeCell ref="K1:K2"/>
    <mergeCell ref="L1:L2"/>
  </mergeCells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8515625" defaultRowHeight="12.75" customHeight="1" x14ac:dyDescent="0.2"/>
  <cols>
    <col min="1" max="1" width="8.28515625" style="6" bestFit="1" customWidth="1"/>
    <col min="2" max="2" width="25.28515625" style="5" bestFit="1" customWidth="1"/>
    <col min="3" max="3" width="9.42578125" style="5" bestFit="1" customWidth="1"/>
    <col min="4" max="4" width="14.5703125" style="5" bestFit="1" customWidth="1"/>
    <col min="5" max="5" width="13.42578125" style="5" bestFit="1" customWidth="1"/>
    <col min="6" max="6" width="35.28515625" style="5" bestFit="1" customWidth="1"/>
    <col min="7" max="7" width="12.28515625" style="5" bestFit="1" customWidth="1"/>
    <col min="8" max="8" width="40.28515625" style="5" bestFit="1" customWidth="1"/>
    <col min="9" max="9" width="22.140625" style="5" customWidth="1"/>
    <col min="10" max="10" width="8" style="5" bestFit="1" customWidth="1"/>
    <col min="11" max="11" width="25.7109375" style="5" bestFit="1" customWidth="1"/>
    <col min="12" max="12" width="4.42578125" style="5" bestFit="1" customWidth="1"/>
    <col min="13" max="13" width="35.28515625" style="5" bestFit="1" customWidth="1"/>
    <col min="14" max="14" width="26.7109375" style="5" bestFit="1" customWidth="1"/>
    <col min="15" max="15" width="3.28515625" style="5" customWidth="1"/>
    <col min="16" max="23" width="15.5703125" style="5" customWidth="1"/>
    <col min="24" max="24" width="1.42578125" style="5" customWidth="1"/>
    <col min="25" max="32" width="14.28515625" style="5" customWidth="1"/>
    <col min="33" max="33" width="13.5703125" style="5" bestFit="1" customWidth="1"/>
    <col min="34" max="34" width="8.28515625" style="5" bestFit="1" customWidth="1"/>
    <col min="35" max="35" width="25.28515625" style="5" bestFit="1" customWidth="1"/>
    <col min="36" max="39" width="9.28515625" style="5"/>
    <col min="40" max="40" width="13.5703125" style="5" bestFit="1" customWidth="1"/>
    <col min="41" max="16384" width="9.28515625" style="5"/>
  </cols>
  <sheetData>
    <row r="1" spans="1:37" ht="12.75" customHeight="1" x14ac:dyDescent="0.2">
      <c r="A1" s="6" t="s">
        <v>1</v>
      </c>
    </row>
    <row r="2" spans="1:37" x14ac:dyDescent="0.2">
      <c r="A2" s="1019" t="s">
        <v>2</v>
      </c>
      <c r="B2" s="1019"/>
      <c r="C2" s="1019"/>
      <c r="E2" s="1019" t="s">
        <v>3</v>
      </c>
      <c r="F2" s="1019"/>
      <c r="G2" s="1019"/>
      <c r="H2" s="1019"/>
      <c r="I2" s="1019"/>
      <c r="J2" s="1019"/>
      <c r="K2" s="1019"/>
      <c r="L2" s="1019"/>
      <c r="M2" s="1019"/>
      <c r="N2" s="1019"/>
      <c r="P2" s="1019" t="s">
        <v>4</v>
      </c>
      <c r="Q2" s="1019"/>
      <c r="R2" s="1019"/>
      <c r="S2" s="1019"/>
      <c r="T2" s="1019"/>
      <c r="U2" s="1019"/>
      <c r="V2" s="1019"/>
      <c r="W2" s="1019"/>
      <c r="X2" s="19"/>
      <c r="Y2" s="1019" t="s">
        <v>5</v>
      </c>
      <c r="Z2" s="1019"/>
      <c r="AA2" s="1019"/>
      <c r="AB2" s="1019"/>
      <c r="AC2" s="1019"/>
      <c r="AD2" s="1019"/>
      <c r="AE2" s="1019"/>
      <c r="AF2" s="1019"/>
      <c r="AH2" s="1018" t="s">
        <v>6</v>
      </c>
      <c r="AI2" s="1018"/>
      <c r="AJ2" s="1018"/>
      <c r="AK2" s="1018"/>
    </row>
    <row r="4" spans="1:37" ht="15.75" customHeight="1" x14ac:dyDescent="0.2">
      <c r="A4" s="18" t="s">
        <v>7</v>
      </c>
      <c r="B4" s="18" t="s">
        <v>8</v>
      </c>
      <c r="C4" s="18" t="s">
        <v>9</v>
      </c>
      <c r="D4" s="10"/>
      <c r="E4" s="18"/>
      <c r="F4" s="18"/>
      <c r="G4" s="18" t="s">
        <v>10</v>
      </c>
      <c r="H4" s="18" t="s">
        <v>11</v>
      </c>
      <c r="I4" s="18"/>
      <c r="J4" s="18" t="s">
        <v>12</v>
      </c>
      <c r="K4" s="18" t="s">
        <v>13</v>
      </c>
      <c r="L4" s="18"/>
      <c r="M4" s="18"/>
      <c r="N4" s="18"/>
      <c r="P4" s="1017" t="s">
        <v>14</v>
      </c>
      <c r="Q4" s="18" t="s">
        <v>15</v>
      </c>
      <c r="R4" s="18" t="s">
        <v>16</v>
      </c>
      <c r="S4" s="18" t="s">
        <v>17</v>
      </c>
      <c r="T4" s="18"/>
      <c r="U4" s="18" t="s">
        <v>18</v>
      </c>
      <c r="V4" s="18" t="s">
        <v>19</v>
      </c>
      <c r="W4" s="18" t="s">
        <v>15</v>
      </c>
      <c r="X4" s="14"/>
      <c r="Y4" s="1017" t="s">
        <v>20</v>
      </c>
      <c r="Z4" s="18" t="s">
        <v>15</v>
      </c>
      <c r="AA4" s="18" t="s">
        <v>16</v>
      </c>
      <c r="AB4" s="18" t="s">
        <v>17</v>
      </c>
      <c r="AC4" s="18"/>
      <c r="AD4" s="18" t="s">
        <v>18</v>
      </c>
      <c r="AE4" s="18" t="s">
        <v>19</v>
      </c>
      <c r="AF4" s="18" t="s">
        <v>15</v>
      </c>
      <c r="AH4" s="18" t="s">
        <v>7</v>
      </c>
      <c r="AI4" s="18" t="s">
        <v>8</v>
      </c>
      <c r="AJ4" s="18" t="s">
        <v>21</v>
      </c>
      <c r="AK4" s="18" t="s">
        <v>22</v>
      </c>
    </row>
    <row r="5" spans="1:37" ht="15" customHeight="1" x14ac:dyDescent="0.2">
      <c r="A5" s="5">
        <v>64</v>
      </c>
      <c r="B5" s="5" t="s">
        <v>23</v>
      </c>
      <c r="C5" s="5" t="s">
        <v>24</v>
      </c>
      <c r="D5" s="10"/>
      <c r="G5" s="5" t="s">
        <v>25</v>
      </c>
      <c r="H5" s="5" t="s">
        <v>26</v>
      </c>
      <c r="I5" s="8"/>
      <c r="J5" s="7">
        <v>721</v>
      </c>
      <c r="K5" s="7" t="s">
        <v>27</v>
      </c>
      <c r="L5" s="754" t="s">
        <v>28</v>
      </c>
      <c r="M5" s="754" t="s">
        <v>29</v>
      </c>
      <c r="N5" s="6"/>
      <c r="P5" s="1017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17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23</v>
      </c>
      <c r="AJ5" s="965">
        <v>5.5E-2</v>
      </c>
      <c r="AK5" s="965">
        <v>5.5E-2</v>
      </c>
    </row>
    <row r="6" spans="1:37" ht="15" customHeight="1" x14ac:dyDescent="0.2">
      <c r="A6" s="5">
        <v>70</v>
      </c>
      <c r="B6" s="5" t="s">
        <v>30</v>
      </c>
      <c r="C6" s="5" t="s">
        <v>31</v>
      </c>
      <c r="D6" s="10"/>
      <c r="G6" s="5" t="s">
        <v>32</v>
      </c>
      <c r="H6" s="5" t="s">
        <v>33</v>
      </c>
      <c r="I6" s="8"/>
      <c r="J6" s="7">
        <v>721</v>
      </c>
      <c r="K6" s="7" t="s">
        <v>27</v>
      </c>
      <c r="L6" s="754" t="s">
        <v>28</v>
      </c>
      <c r="M6" s="754" t="s">
        <v>29</v>
      </c>
      <c r="P6" s="5" t="s">
        <v>34</v>
      </c>
      <c r="Q6" s="15">
        <v>6.72</v>
      </c>
      <c r="R6" s="793">
        <v>5.6403999999999996</v>
      </c>
      <c r="S6" s="15">
        <v>5.9</v>
      </c>
      <c r="T6" s="15"/>
      <c r="U6" s="15">
        <v>5.2702999999999998</v>
      </c>
      <c r="V6" s="977">
        <v>5.2763999999999998</v>
      </c>
      <c r="W6" s="15">
        <v>5.9</v>
      </c>
      <c r="X6" s="17"/>
      <c r="Y6" s="5" t="s">
        <v>34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77">
        <v>5.4612100000000003</v>
      </c>
      <c r="AF6" s="15">
        <v>5.9</v>
      </c>
      <c r="AH6" s="5">
        <v>70</v>
      </c>
      <c r="AI6" s="5" t="s">
        <v>30</v>
      </c>
      <c r="AJ6" s="965">
        <v>0.16830000000000001</v>
      </c>
      <c r="AK6" s="965">
        <v>0.06</v>
      </c>
    </row>
    <row r="7" spans="1:37" ht="15" customHeight="1" x14ac:dyDescent="0.2">
      <c r="A7" s="5">
        <v>145</v>
      </c>
      <c r="B7" s="5" t="s">
        <v>35</v>
      </c>
      <c r="C7" s="5" t="s">
        <v>36</v>
      </c>
      <c r="D7" s="10"/>
      <c r="G7" s="5" t="s">
        <v>37</v>
      </c>
      <c r="H7" s="5" t="s">
        <v>38</v>
      </c>
      <c r="I7" s="8"/>
      <c r="J7" s="7">
        <v>721</v>
      </c>
      <c r="K7" s="8" t="s">
        <v>27</v>
      </c>
      <c r="L7" s="754" t="s">
        <v>28</v>
      </c>
      <c r="M7" s="754" t="s">
        <v>29</v>
      </c>
      <c r="N7" s="6"/>
      <c r="P7" s="5" t="s">
        <v>39</v>
      </c>
      <c r="Q7" s="15">
        <v>1.49</v>
      </c>
      <c r="R7" s="793">
        <v>1.4443999999999999</v>
      </c>
      <c r="S7" s="15">
        <v>1.38</v>
      </c>
      <c r="T7" s="15"/>
      <c r="U7" s="15">
        <v>1.44</v>
      </c>
      <c r="V7" s="977">
        <v>1.4678</v>
      </c>
      <c r="W7" s="15">
        <v>1.49</v>
      </c>
      <c r="X7" s="17"/>
      <c r="Y7" s="5" t="s">
        <v>39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77">
        <v>1.4579</v>
      </c>
      <c r="AF7" s="15">
        <v>1.49</v>
      </c>
      <c r="AH7" s="5">
        <v>145</v>
      </c>
      <c r="AI7" s="5" t="s">
        <v>35</v>
      </c>
      <c r="AJ7" s="965">
        <v>4.1300000000000003E-2</v>
      </c>
      <c r="AK7" s="965">
        <v>4.1300000000000003E-2</v>
      </c>
    </row>
    <row r="8" spans="1:37" ht="15" customHeight="1" x14ac:dyDescent="0.2">
      <c r="A8" s="5">
        <v>156</v>
      </c>
      <c r="B8" s="5" t="s">
        <v>40</v>
      </c>
      <c r="C8" s="5" t="s">
        <v>41</v>
      </c>
      <c r="D8" s="10"/>
      <c r="G8" s="5" t="s">
        <v>42</v>
      </c>
      <c r="H8" s="5" t="s">
        <v>43</v>
      </c>
      <c r="I8" s="8"/>
      <c r="J8" s="7">
        <v>721</v>
      </c>
      <c r="K8" s="8" t="s">
        <v>27</v>
      </c>
      <c r="L8" s="754" t="s">
        <v>28</v>
      </c>
      <c r="M8" s="754" t="s">
        <v>29</v>
      </c>
      <c r="N8" s="6"/>
      <c r="P8" s="5" t="s">
        <v>44</v>
      </c>
      <c r="Q8" s="15">
        <v>1.0900000000000001</v>
      </c>
      <c r="R8" s="793">
        <v>0.98370000000000002</v>
      </c>
      <c r="S8" s="15">
        <v>1.03</v>
      </c>
      <c r="T8" s="15"/>
      <c r="U8" s="15">
        <v>0.9778</v>
      </c>
      <c r="V8" s="977">
        <v>0.95409999999999995</v>
      </c>
      <c r="W8" s="15">
        <v>0.96</v>
      </c>
      <c r="X8" s="17"/>
      <c r="Y8" s="5" t="s">
        <v>44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77">
        <v>0.98287999999999998</v>
      </c>
      <c r="AF8" s="15">
        <v>0.96</v>
      </c>
      <c r="AH8" s="5">
        <v>156</v>
      </c>
      <c r="AI8" s="5" t="s">
        <v>40</v>
      </c>
      <c r="AJ8" s="965">
        <v>4.4999999999999998E-2</v>
      </c>
      <c r="AK8" s="965">
        <v>5.2499999999999998E-2</v>
      </c>
    </row>
    <row r="9" spans="1:37" ht="15" customHeight="1" x14ac:dyDescent="0.2">
      <c r="A9" s="5">
        <v>208</v>
      </c>
      <c r="B9" s="5" t="s">
        <v>45</v>
      </c>
      <c r="C9" s="5" t="s">
        <v>24</v>
      </c>
      <c r="D9" s="10"/>
      <c r="G9" s="5" t="s">
        <v>46</v>
      </c>
      <c r="H9" s="5" t="s">
        <v>47</v>
      </c>
      <c r="I9" s="8"/>
      <c r="J9" s="7">
        <v>721</v>
      </c>
      <c r="K9" s="8" t="s">
        <v>27</v>
      </c>
      <c r="L9" s="754">
        <v>740</v>
      </c>
      <c r="M9" s="754" t="s">
        <v>48</v>
      </c>
      <c r="N9" s="6"/>
      <c r="P9" s="5" t="s">
        <v>41</v>
      </c>
      <c r="Q9" s="15">
        <v>7.9</v>
      </c>
      <c r="R9" s="793">
        <v>7.3689</v>
      </c>
      <c r="S9" s="15">
        <v>7</v>
      </c>
      <c r="T9" s="15"/>
      <c r="U9" s="15">
        <v>7.8890000000000002</v>
      </c>
      <c r="V9" s="977">
        <v>7.9570999999999996</v>
      </c>
      <c r="W9" s="15">
        <v>7.6</v>
      </c>
      <c r="X9" s="17"/>
      <c r="Y9" s="5" t="s">
        <v>41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77">
        <v>7.5573600000000001</v>
      </c>
      <c r="AF9" s="15">
        <v>7.6</v>
      </c>
      <c r="AH9" s="5">
        <v>208</v>
      </c>
      <c r="AI9" s="5" t="s">
        <v>45</v>
      </c>
      <c r="AJ9" s="965">
        <v>5.5E-2</v>
      </c>
      <c r="AK9" s="965">
        <v>5.5E-2</v>
      </c>
    </row>
    <row r="10" spans="1:37" ht="15" customHeight="1" x14ac:dyDescent="0.2">
      <c r="A10" s="5">
        <v>214</v>
      </c>
      <c r="B10" s="5" t="s">
        <v>49</v>
      </c>
      <c r="C10" s="5" t="s">
        <v>24</v>
      </c>
      <c r="D10" s="10"/>
      <c r="G10" s="5" t="s">
        <v>50</v>
      </c>
      <c r="H10" s="5" t="s">
        <v>51</v>
      </c>
      <c r="I10" s="8"/>
      <c r="J10" s="7">
        <v>721</v>
      </c>
      <c r="K10" s="8" t="s">
        <v>27</v>
      </c>
      <c r="L10" s="754">
        <v>740</v>
      </c>
      <c r="M10" s="754" t="s">
        <v>48</v>
      </c>
      <c r="N10" s="6"/>
      <c r="P10" s="5" t="s">
        <v>52</v>
      </c>
      <c r="Q10" s="15">
        <v>25.5</v>
      </c>
      <c r="R10" s="793">
        <v>24.149000000000001</v>
      </c>
      <c r="S10" s="15">
        <v>24.5</v>
      </c>
      <c r="T10" s="15"/>
      <c r="U10" s="15">
        <v>23.774000000000001</v>
      </c>
      <c r="V10" s="977">
        <v>24.052</v>
      </c>
      <c r="W10" s="15">
        <v>23.5</v>
      </c>
      <c r="X10" s="17"/>
      <c r="Y10" s="5" t="s">
        <v>52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77">
        <v>23.71725</v>
      </c>
      <c r="AF10" s="15">
        <v>23.5</v>
      </c>
      <c r="AH10" s="5">
        <v>214</v>
      </c>
      <c r="AI10" s="5" t="s">
        <v>49</v>
      </c>
      <c r="AJ10" s="965">
        <v>5.3499999999999999E-2</v>
      </c>
      <c r="AK10" s="965">
        <v>5.6599999999999998E-2</v>
      </c>
    </row>
    <row r="11" spans="1:37" ht="15" customHeight="1" x14ac:dyDescent="0.2">
      <c r="A11" s="5">
        <v>218</v>
      </c>
      <c r="B11" s="5" t="s">
        <v>53</v>
      </c>
      <c r="C11" s="5" t="s">
        <v>41</v>
      </c>
      <c r="D11" s="10"/>
      <c r="E11" s="9"/>
      <c r="F11" s="11"/>
      <c r="G11" s="5" t="s">
        <v>54</v>
      </c>
      <c r="H11" s="5" t="s">
        <v>55</v>
      </c>
      <c r="I11" s="8"/>
      <c r="J11" s="7">
        <v>721</v>
      </c>
      <c r="K11" s="8" t="s">
        <v>27</v>
      </c>
      <c r="L11" s="754">
        <v>740</v>
      </c>
      <c r="M11" s="754" t="s">
        <v>48</v>
      </c>
      <c r="N11" s="6"/>
      <c r="P11" s="5" t="s">
        <v>56</v>
      </c>
      <c r="Q11" s="15">
        <v>7.44</v>
      </c>
      <c r="R11" s="793">
        <v>7.4363000000000001</v>
      </c>
      <c r="S11" s="15">
        <v>7.44</v>
      </c>
      <c r="T11" s="15"/>
      <c r="U11" s="15">
        <v>7.4473000000000003</v>
      </c>
      <c r="V11" s="977">
        <v>7.4516999999999998</v>
      </c>
      <c r="W11" s="15"/>
      <c r="X11" s="17"/>
      <c r="Y11" s="5" t="s">
        <v>56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77">
        <v>7.44712</v>
      </c>
      <c r="AF11" s="15"/>
      <c r="AH11" s="5">
        <v>218</v>
      </c>
      <c r="AI11" s="5" t="s">
        <v>53</v>
      </c>
      <c r="AJ11" s="965">
        <v>4.4999999999999998E-2</v>
      </c>
      <c r="AK11" s="965">
        <v>5.3999999999999999E-2</v>
      </c>
    </row>
    <row r="12" spans="1:37" ht="15" customHeight="1" x14ac:dyDescent="0.2">
      <c r="A12" s="5">
        <v>220</v>
      </c>
      <c r="B12" s="5" t="s">
        <v>57</v>
      </c>
      <c r="C12" s="5" t="s">
        <v>31</v>
      </c>
      <c r="D12" s="10"/>
      <c r="E12" s="9"/>
      <c r="F12" s="8"/>
      <c r="G12" s="5" t="s">
        <v>58</v>
      </c>
      <c r="H12" s="5" t="s">
        <v>59</v>
      </c>
      <c r="I12" s="8"/>
      <c r="J12" s="7">
        <v>721</v>
      </c>
      <c r="K12" s="8" t="s">
        <v>27</v>
      </c>
      <c r="L12" s="754">
        <v>740</v>
      </c>
      <c r="M12" s="754" t="s">
        <v>48</v>
      </c>
      <c r="N12" s="9"/>
      <c r="P12" s="5" t="s">
        <v>60</v>
      </c>
      <c r="Q12" s="15">
        <v>0.88</v>
      </c>
      <c r="R12" s="793">
        <v>0.88570000000000004</v>
      </c>
      <c r="S12" s="15">
        <v>0.86</v>
      </c>
      <c r="T12" s="15"/>
      <c r="U12" s="15">
        <v>0.85819999999999996</v>
      </c>
      <c r="V12" s="977">
        <v>0.85950000000000004</v>
      </c>
      <c r="W12" s="15">
        <v>0.89</v>
      </c>
      <c r="X12" s="17"/>
      <c r="Y12" s="5" t="s">
        <v>60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77">
        <v>0.87426999999999999</v>
      </c>
      <c r="AF12" s="15">
        <v>0.89</v>
      </c>
      <c r="AH12" s="5">
        <v>220</v>
      </c>
      <c r="AI12" s="5" t="s">
        <v>57</v>
      </c>
      <c r="AJ12" s="965">
        <v>0.12</v>
      </c>
      <c r="AK12" s="965">
        <v>0.06</v>
      </c>
    </row>
    <row r="13" spans="1:37" ht="15" customHeight="1" x14ac:dyDescent="0.2">
      <c r="A13" s="5">
        <v>225</v>
      </c>
      <c r="B13" s="5" t="s">
        <v>61</v>
      </c>
      <c r="C13" s="5" t="s">
        <v>24</v>
      </c>
      <c r="D13" s="10"/>
      <c r="E13" s="9"/>
      <c r="F13" s="8"/>
      <c r="G13" s="5" t="s">
        <v>62</v>
      </c>
      <c r="H13" s="5" t="s">
        <v>63</v>
      </c>
      <c r="I13" s="8"/>
      <c r="J13" s="7">
        <v>721</v>
      </c>
      <c r="K13" s="8" t="s">
        <v>27</v>
      </c>
      <c r="L13" s="754">
        <v>740</v>
      </c>
      <c r="M13" s="754" t="s">
        <v>48</v>
      </c>
      <c r="N13" s="9"/>
      <c r="P13" s="5" t="s">
        <v>64</v>
      </c>
      <c r="Q13" s="15">
        <v>360</v>
      </c>
      <c r="R13" s="793">
        <v>400.86</v>
      </c>
      <c r="S13" s="15">
        <v>380</v>
      </c>
      <c r="T13" s="15"/>
      <c r="U13" s="15">
        <v>371.76</v>
      </c>
      <c r="V13" s="977">
        <v>379.6</v>
      </c>
      <c r="W13" s="15">
        <v>370</v>
      </c>
      <c r="X13" s="17"/>
      <c r="Y13" s="5" t="s">
        <v>64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77">
        <v>380.37441000000001</v>
      </c>
      <c r="AF13" s="15">
        <v>370</v>
      </c>
      <c r="AH13" s="5">
        <v>225</v>
      </c>
      <c r="AI13" s="5" t="s">
        <v>61</v>
      </c>
      <c r="AJ13" s="965">
        <v>5.5E-2</v>
      </c>
      <c r="AK13" s="965">
        <v>5.5E-2</v>
      </c>
    </row>
    <row r="14" spans="1:37" ht="15" customHeight="1" x14ac:dyDescent="0.2">
      <c r="A14" s="5">
        <v>228</v>
      </c>
      <c r="B14" s="5" t="s">
        <v>65</v>
      </c>
      <c r="C14" s="5" t="s">
        <v>36</v>
      </c>
      <c r="D14" s="10"/>
      <c r="E14" s="9"/>
      <c r="F14" s="8"/>
      <c r="G14" s="5" t="s">
        <v>66</v>
      </c>
      <c r="H14" s="5" t="s">
        <v>67</v>
      </c>
      <c r="I14" s="8"/>
      <c r="J14" s="7">
        <v>721</v>
      </c>
      <c r="K14" s="8" t="s">
        <v>27</v>
      </c>
      <c r="L14" s="754">
        <v>740</v>
      </c>
      <c r="M14" s="754" t="s">
        <v>48</v>
      </c>
      <c r="N14" s="9"/>
      <c r="P14" s="5" t="s">
        <v>68</v>
      </c>
      <c r="Q14" s="15">
        <v>90</v>
      </c>
      <c r="R14" s="793">
        <v>88.257599999999996</v>
      </c>
      <c r="S14" s="15">
        <v>85</v>
      </c>
      <c r="T14" s="15"/>
      <c r="U14" s="15">
        <v>89.046199999999999</v>
      </c>
      <c r="V14" s="977">
        <v>91.252499999999998</v>
      </c>
      <c r="W14" s="15">
        <v>90</v>
      </c>
      <c r="X14" s="17"/>
      <c r="Y14" s="5" t="s">
        <v>68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77">
        <v>89.179760000000002</v>
      </c>
      <c r="AF14" s="15">
        <v>90</v>
      </c>
      <c r="AH14" s="5">
        <v>228</v>
      </c>
      <c r="AI14" s="5" t="s">
        <v>65</v>
      </c>
      <c r="AJ14" s="965"/>
      <c r="AK14" s="965">
        <v>3.3799999999999997E-2</v>
      </c>
    </row>
    <row r="15" spans="1:37" ht="15" customHeight="1" x14ac:dyDescent="0.2">
      <c r="A15" s="5">
        <v>230</v>
      </c>
      <c r="B15" s="5" t="s">
        <v>69</v>
      </c>
      <c r="C15" s="5" t="s">
        <v>24</v>
      </c>
      <c r="D15" s="10"/>
      <c r="E15" s="9"/>
      <c r="F15" s="8"/>
      <c r="G15" s="5" t="s">
        <v>70</v>
      </c>
      <c r="H15" s="5" t="s">
        <v>71</v>
      </c>
      <c r="I15" s="8"/>
      <c r="J15" s="7">
        <v>721</v>
      </c>
      <c r="K15" s="8" t="s">
        <v>27</v>
      </c>
      <c r="L15" s="754">
        <v>740</v>
      </c>
      <c r="M15" s="754" t="s">
        <v>48</v>
      </c>
      <c r="N15" s="9"/>
      <c r="P15" s="5" t="s">
        <v>72</v>
      </c>
      <c r="Q15" s="15">
        <v>125</v>
      </c>
      <c r="R15" s="793">
        <v>140.74</v>
      </c>
      <c r="S15" s="15">
        <v>125</v>
      </c>
      <c r="T15" s="15"/>
      <c r="U15" s="15">
        <v>156.96</v>
      </c>
      <c r="V15" s="977">
        <v>156.19999999999999</v>
      </c>
      <c r="W15" s="15">
        <v>135</v>
      </c>
      <c r="X15" s="17"/>
      <c r="Y15" s="5" t="s">
        <v>72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77">
        <v>147.23639</v>
      </c>
      <c r="AF15" s="15">
        <v>135</v>
      </c>
      <c r="AH15" s="5">
        <v>230</v>
      </c>
      <c r="AI15" s="5" t="s">
        <v>69</v>
      </c>
      <c r="AJ15" s="965">
        <v>5.3499999999999999E-2</v>
      </c>
      <c r="AK15" s="965">
        <v>5.6599999999999998E-2</v>
      </c>
    </row>
    <row r="16" spans="1:37" ht="15" customHeight="1" x14ac:dyDescent="0.2">
      <c r="A16" s="5">
        <v>231</v>
      </c>
      <c r="B16" s="5" t="s">
        <v>73</v>
      </c>
      <c r="C16" s="5" t="s">
        <v>52</v>
      </c>
      <c r="D16" s="10"/>
      <c r="E16" s="9"/>
      <c r="F16" s="8"/>
      <c r="G16" s="5" t="s">
        <v>74</v>
      </c>
      <c r="H16" s="5" t="s">
        <v>75</v>
      </c>
      <c r="I16" s="8"/>
      <c r="J16" s="7">
        <v>721</v>
      </c>
      <c r="K16" s="8" t="s">
        <v>27</v>
      </c>
      <c r="L16" s="754">
        <v>740</v>
      </c>
      <c r="M16" s="754" t="s">
        <v>48</v>
      </c>
      <c r="N16" s="9"/>
      <c r="P16" s="5" t="s">
        <v>76</v>
      </c>
      <c r="Q16" s="15">
        <v>1362</v>
      </c>
      <c r="R16" s="793">
        <v>1344.72</v>
      </c>
      <c r="S16" s="15">
        <v>1329</v>
      </c>
      <c r="T16" s="15"/>
      <c r="U16" s="15">
        <v>1430.47</v>
      </c>
      <c r="V16" s="977">
        <v>1422.8</v>
      </c>
      <c r="W16" s="15">
        <v>1450</v>
      </c>
      <c r="X16" s="17"/>
      <c r="Y16" s="5" t="s">
        <v>76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77">
        <v>1403.6801399999999</v>
      </c>
      <c r="AF16" s="15">
        <v>1450</v>
      </c>
      <c r="AH16" s="5">
        <v>231</v>
      </c>
      <c r="AI16" s="5" t="s">
        <v>73</v>
      </c>
      <c r="AJ16" s="965">
        <v>6.3799999999999996E-2</v>
      </c>
      <c r="AK16" s="965">
        <v>6.3799999999999996E-2</v>
      </c>
    </row>
    <row r="17" spans="1:37" ht="15" customHeight="1" x14ac:dyDescent="0.2">
      <c r="A17" s="5">
        <v>242</v>
      </c>
      <c r="B17" s="5" t="s">
        <v>77</v>
      </c>
      <c r="C17" s="5" t="s">
        <v>76</v>
      </c>
      <c r="D17" s="10"/>
      <c r="E17" s="9"/>
      <c r="F17" s="8"/>
      <c r="G17" s="5" t="s">
        <v>78</v>
      </c>
      <c r="H17" s="5" t="s">
        <v>79</v>
      </c>
      <c r="I17" s="8"/>
      <c r="J17" s="7">
        <v>721</v>
      </c>
      <c r="K17" s="8" t="s">
        <v>27</v>
      </c>
      <c r="L17" s="754">
        <v>750</v>
      </c>
      <c r="M17" s="754" t="s">
        <v>80</v>
      </c>
      <c r="N17" s="8"/>
      <c r="P17" s="5" t="s">
        <v>31</v>
      </c>
      <c r="Q17" s="15">
        <v>24</v>
      </c>
      <c r="R17" s="793">
        <v>20.823599999999999</v>
      </c>
      <c r="S17" s="15">
        <v>23.5</v>
      </c>
      <c r="T17" s="15"/>
      <c r="U17" s="15">
        <v>18.5501</v>
      </c>
      <c r="V17" s="977">
        <v>18.670000000000002</v>
      </c>
      <c r="W17" s="15">
        <v>20.3</v>
      </c>
      <c r="X17" s="17"/>
      <c r="Y17" s="5" t="s">
        <v>31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77">
        <v>19.52956</v>
      </c>
      <c r="AF17" s="15">
        <v>20.3</v>
      </c>
      <c r="AH17" s="5">
        <v>242</v>
      </c>
      <c r="AI17" s="5" t="s">
        <v>77</v>
      </c>
      <c r="AJ17" s="965">
        <v>3.7499999999999999E-2</v>
      </c>
      <c r="AK17" s="965">
        <v>4.1300000000000003E-2</v>
      </c>
    </row>
    <row r="18" spans="1:37" ht="15" customHeight="1" x14ac:dyDescent="0.2">
      <c r="A18" s="5">
        <v>246</v>
      </c>
      <c r="B18" s="5" t="s">
        <v>81</v>
      </c>
      <c r="C18" s="5" t="s">
        <v>24</v>
      </c>
      <c r="D18" s="10"/>
      <c r="E18" s="9"/>
      <c r="F18" s="8"/>
      <c r="G18" s="5" t="s">
        <v>82</v>
      </c>
      <c r="H18" s="5" t="s">
        <v>83</v>
      </c>
      <c r="I18" s="8"/>
      <c r="J18" s="7">
        <v>721</v>
      </c>
      <c r="K18" s="8" t="s">
        <v>27</v>
      </c>
      <c r="L18" s="754">
        <v>750</v>
      </c>
      <c r="M18" s="754" t="s">
        <v>80</v>
      </c>
      <c r="N18" s="8"/>
      <c r="P18" s="5" t="s">
        <v>84</v>
      </c>
      <c r="Q18" s="15">
        <v>5</v>
      </c>
      <c r="R18" s="793">
        <v>4.9474999999999998</v>
      </c>
      <c r="S18" s="15">
        <v>5</v>
      </c>
      <c r="T18" s="15"/>
      <c r="U18" s="15">
        <v>4.9641999999999999</v>
      </c>
      <c r="V18" s="977">
        <v>4.9276999999999997</v>
      </c>
      <c r="W18" s="15">
        <v>4.95</v>
      </c>
      <c r="X18" s="17"/>
      <c r="Y18" s="5" t="s">
        <v>84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77">
        <v>4.9346199999999998</v>
      </c>
      <c r="AF18" s="15">
        <v>4.95</v>
      </c>
      <c r="AH18" s="5">
        <v>246</v>
      </c>
      <c r="AI18" s="5" t="s">
        <v>81</v>
      </c>
      <c r="AJ18" s="965">
        <v>5.5E-2</v>
      </c>
      <c r="AK18" s="965">
        <v>5.5E-2</v>
      </c>
    </row>
    <row r="19" spans="1:37" ht="15" customHeight="1" x14ac:dyDescent="0.2">
      <c r="A19" s="5">
        <v>265</v>
      </c>
      <c r="B19" s="5" t="s">
        <v>85</v>
      </c>
      <c r="C19" s="5" t="s">
        <v>24</v>
      </c>
      <c r="D19" s="10"/>
      <c r="E19" s="9"/>
      <c r="F19" s="8"/>
      <c r="G19" s="5" t="s">
        <v>86</v>
      </c>
      <c r="H19" s="5" t="s">
        <v>87</v>
      </c>
      <c r="I19" s="8"/>
      <c r="J19" s="7">
        <v>721</v>
      </c>
      <c r="K19" s="8" t="s">
        <v>27</v>
      </c>
      <c r="L19" s="754">
        <v>750</v>
      </c>
      <c r="M19" s="6" t="s">
        <v>80</v>
      </c>
      <c r="N19" s="8"/>
      <c r="P19" s="5" t="s">
        <v>88</v>
      </c>
      <c r="Q19" s="15">
        <v>95</v>
      </c>
      <c r="R19" s="793">
        <v>77.270499999999998</v>
      </c>
      <c r="S19" s="15">
        <v>100</v>
      </c>
      <c r="T19" s="15"/>
      <c r="U19" s="15">
        <v>95.996399999999994</v>
      </c>
      <c r="V19" s="977">
        <v>100.1771</v>
      </c>
      <c r="W19" s="15">
        <v>98.18</v>
      </c>
      <c r="X19" s="17"/>
      <c r="Y19" s="5" t="s">
        <v>88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77">
        <v>85.894120000000001</v>
      </c>
      <c r="AF19" s="15">
        <v>98.18</v>
      </c>
      <c r="AH19" s="5">
        <v>265</v>
      </c>
      <c r="AI19" s="5" t="s">
        <v>85</v>
      </c>
      <c r="AJ19" s="965">
        <v>5.5E-2</v>
      </c>
      <c r="AK19" s="965">
        <v>5.5E-2</v>
      </c>
    </row>
    <row r="20" spans="1:37" ht="15" customHeight="1" x14ac:dyDescent="0.2">
      <c r="A20" s="5">
        <v>278</v>
      </c>
      <c r="B20" s="5" t="s">
        <v>89</v>
      </c>
      <c r="C20" s="5" t="s">
        <v>90</v>
      </c>
      <c r="D20" s="10"/>
      <c r="E20" s="9"/>
      <c r="F20" s="8"/>
      <c r="G20" s="5" t="s">
        <v>91</v>
      </c>
      <c r="H20" s="5" t="s">
        <v>92</v>
      </c>
      <c r="I20" s="8"/>
      <c r="J20" s="7">
        <v>721</v>
      </c>
      <c r="K20" s="8" t="s">
        <v>27</v>
      </c>
      <c r="L20" s="754">
        <v>750</v>
      </c>
      <c r="M20" s="6" t="s">
        <v>80</v>
      </c>
      <c r="N20" s="6"/>
      <c r="P20" s="5" t="s">
        <v>93</v>
      </c>
      <c r="Q20" s="15">
        <v>1.62</v>
      </c>
      <c r="R20" s="793">
        <v>1.4305000000000001</v>
      </c>
      <c r="S20" s="15">
        <v>1.48</v>
      </c>
      <c r="T20" s="15"/>
      <c r="U20" s="15">
        <v>1.4722999999999999</v>
      </c>
      <c r="V20" s="977">
        <v>1.474</v>
      </c>
      <c r="W20" s="15"/>
      <c r="X20" s="17"/>
      <c r="Y20" s="5" t="s">
        <v>93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77">
        <v>1.4489799999999999</v>
      </c>
      <c r="AF20" s="15"/>
      <c r="AH20" s="5">
        <v>278</v>
      </c>
      <c r="AI20" s="5" t="s">
        <v>89</v>
      </c>
      <c r="AJ20" s="965">
        <v>7.0000000000000007E-2</v>
      </c>
      <c r="AK20" s="965">
        <v>3.7499999999999999E-2</v>
      </c>
    </row>
    <row r="21" spans="1:37" ht="15" customHeight="1" x14ac:dyDescent="0.2">
      <c r="A21" s="5">
        <v>282</v>
      </c>
      <c r="B21" s="5" t="s">
        <v>94</v>
      </c>
      <c r="C21" s="5" t="s">
        <v>52</v>
      </c>
      <c r="D21" s="10"/>
      <c r="E21" s="9"/>
      <c r="F21" s="8"/>
      <c r="G21" s="5" t="s">
        <v>95</v>
      </c>
      <c r="H21" s="5" t="s">
        <v>96</v>
      </c>
      <c r="I21" s="8"/>
      <c r="J21" s="7">
        <v>721</v>
      </c>
      <c r="K21" s="8" t="s">
        <v>27</v>
      </c>
      <c r="L21" s="754">
        <v>760</v>
      </c>
      <c r="M21" s="6" t="s">
        <v>97</v>
      </c>
      <c r="N21" s="6"/>
      <c r="P21" s="5" t="s">
        <v>90</v>
      </c>
      <c r="Q21" s="15">
        <v>37.6</v>
      </c>
      <c r="R21" s="793">
        <v>36.887799999999999</v>
      </c>
      <c r="S21" s="15">
        <v>36.15</v>
      </c>
      <c r="T21" s="15"/>
      <c r="U21" s="15">
        <v>38.445999999999998</v>
      </c>
      <c r="V21" s="977">
        <v>37.956600000000002</v>
      </c>
      <c r="W21" s="15">
        <v>37.4</v>
      </c>
      <c r="X21" s="17"/>
      <c r="Y21" s="5" t="s">
        <v>90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77">
        <v>37.165120000000002</v>
      </c>
      <c r="AF21" s="15">
        <v>37.4</v>
      </c>
      <c r="AH21" s="5">
        <v>282</v>
      </c>
      <c r="AI21" s="5" t="s">
        <v>94</v>
      </c>
      <c r="AJ21" s="965">
        <v>6.3799999999999996E-2</v>
      </c>
      <c r="AK21" s="965">
        <v>6.3799999999999996E-2</v>
      </c>
    </row>
    <row r="22" spans="1:37" ht="15" customHeight="1" x14ac:dyDescent="0.2">
      <c r="A22" s="5">
        <v>290</v>
      </c>
      <c r="B22" s="5" t="s">
        <v>98</v>
      </c>
      <c r="C22" s="5" t="s">
        <v>41</v>
      </c>
      <c r="D22" s="10"/>
      <c r="E22" s="9"/>
      <c r="F22" s="8"/>
      <c r="G22" s="5" t="s">
        <v>99</v>
      </c>
      <c r="H22" s="5" t="s">
        <v>100</v>
      </c>
      <c r="I22" s="8"/>
      <c r="J22" s="7">
        <v>721</v>
      </c>
      <c r="K22" s="8" t="s">
        <v>27</v>
      </c>
      <c r="L22" s="754">
        <v>760</v>
      </c>
      <c r="M22" s="6" t="s">
        <v>97</v>
      </c>
      <c r="N22" s="6"/>
      <c r="P22" s="5" t="s">
        <v>36</v>
      </c>
      <c r="Q22" s="15">
        <v>1.2</v>
      </c>
      <c r="R22" s="793">
        <v>1.0669999999999999</v>
      </c>
      <c r="S22" s="15">
        <v>1.08</v>
      </c>
      <c r="T22" s="15"/>
      <c r="U22" s="15">
        <v>1.0852999999999999</v>
      </c>
      <c r="V22" s="977">
        <v>1.1136999999999999</v>
      </c>
      <c r="W22" s="15">
        <v>1.1000000000000001</v>
      </c>
      <c r="X22" s="17"/>
      <c r="Y22" s="5" t="s">
        <v>36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77">
        <v>1.08494</v>
      </c>
      <c r="AF22" s="15">
        <v>1.1000000000000001</v>
      </c>
      <c r="AH22" s="5">
        <v>290</v>
      </c>
      <c r="AI22" s="5" t="s">
        <v>98</v>
      </c>
      <c r="AJ22" s="965">
        <v>4.4999999999999998E-2</v>
      </c>
      <c r="AK22" s="965">
        <v>5.2499999999999998E-2</v>
      </c>
    </row>
    <row r="23" spans="1:37" ht="15" customHeight="1" x14ac:dyDescent="0.2">
      <c r="A23" s="5">
        <v>296</v>
      </c>
      <c r="B23" s="5" t="s">
        <v>101</v>
      </c>
      <c r="C23" s="5" t="s">
        <v>24</v>
      </c>
      <c r="D23" s="10"/>
      <c r="E23" s="9"/>
      <c r="F23" s="8"/>
      <c r="G23" s="5" t="s">
        <v>102</v>
      </c>
      <c r="H23" s="5" t="s">
        <v>103</v>
      </c>
      <c r="I23" s="8"/>
      <c r="J23" s="7">
        <v>721</v>
      </c>
      <c r="K23" s="8" t="s">
        <v>27</v>
      </c>
      <c r="L23" s="754">
        <v>760</v>
      </c>
      <c r="M23" s="6" t="s">
        <v>97</v>
      </c>
      <c r="N23" s="6"/>
      <c r="P23" s="5" t="s">
        <v>24</v>
      </c>
      <c r="Q23" s="15">
        <v>1</v>
      </c>
      <c r="R23" s="793">
        <v>1</v>
      </c>
      <c r="S23" s="15">
        <v>1</v>
      </c>
      <c r="T23" s="15"/>
      <c r="U23" s="15">
        <v>1</v>
      </c>
      <c r="V23" s="977">
        <v>1</v>
      </c>
      <c r="W23" s="15">
        <v>1</v>
      </c>
      <c r="X23" s="17"/>
      <c r="Y23" s="5" t="s">
        <v>24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77">
        <v>1</v>
      </c>
      <c r="AF23" s="15">
        <v>1</v>
      </c>
      <c r="AH23" s="5">
        <v>296</v>
      </c>
      <c r="AI23" s="5" t="s">
        <v>101</v>
      </c>
      <c r="AJ23" s="965">
        <v>5.5E-2</v>
      </c>
      <c r="AK23" s="965">
        <v>5.5E-2</v>
      </c>
    </row>
    <row r="24" spans="1:37" ht="15" customHeight="1" x14ac:dyDescent="0.2">
      <c r="A24" s="5">
        <v>517</v>
      </c>
      <c r="B24" s="5" t="s">
        <v>104</v>
      </c>
      <c r="C24" s="5" t="s">
        <v>31</v>
      </c>
      <c r="D24" s="10"/>
      <c r="E24" s="9"/>
      <c r="F24" s="8"/>
      <c r="G24" s="5" t="s">
        <v>105</v>
      </c>
      <c r="H24" s="5" t="s">
        <v>106</v>
      </c>
      <c r="I24" s="8"/>
      <c r="J24" s="7">
        <v>721</v>
      </c>
      <c r="K24" s="8" t="s">
        <v>27</v>
      </c>
      <c r="L24" s="754">
        <v>760</v>
      </c>
      <c r="M24" s="6" t="s">
        <v>97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104</v>
      </c>
      <c r="AJ24" s="965">
        <v>0.12</v>
      </c>
      <c r="AK24" s="965">
        <v>0.06</v>
      </c>
    </row>
    <row r="25" spans="1:37" ht="15" customHeight="1" x14ac:dyDescent="0.2">
      <c r="A25" s="5">
        <v>519</v>
      </c>
      <c r="B25" s="5" t="s">
        <v>107</v>
      </c>
      <c r="C25" s="5" t="s">
        <v>68</v>
      </c>
      <c r="D25" s="10"/>
      <c r="E25" s="9"/>
      <c r="F25" s="8"/>
      <c r="G25" s="5" t="s">
        <v>108</v>
      </c>
      <c r="H25" s="5" t="s">
        <v>109</v>
      </c>
      <c r="I25" s="8"/>
      <c r="J25" s="7">
        <v>722</v>
      </c>
      <c r="K25" s="8" t="s">
        <v>110</v>
      </c>
      <c r="L25" s="754">
        <v>770</v>
      </c>
      <c r="M25" s="6" t="s">
        <v>111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107</v>
      </c>
      <c r="AJ25" s="965">
        <v>9.7500000000000003E-2</v>
      </c>
      <c r="AK25" s="965">
        <v>0.09</v>
      </c>
    </row>
    <row r="26" spans="1:37" ht="15" customHeight="1" x14ac:dyDescent="0.2">
      <c r="A26" s="5">
        <v>526</v>
      </c>
      <c r="B26" s="5" t="s">
        <v>112</v>
      </c>
      <c r="C26" s="5" t="s">
        <v>36</v>
      </c>
      <c r="D26" s="10"/>
      <c r="E26" s="9"/>
      <c r="F26" s="8"/>
      <c r="G26" s="5" t="s">
        <v>113</v>
      </c>
      <c r="H26" s="5" t="s">
        <v>114</v>
      </c>
      <c r="I26" s="8"/>
      <c r="J26" s="7">
        <v>722</v>
      </c>
      <c r="K26" s="8" t="s">
        <v>110</v>
      </c>
      <c r="L26" s="754">
        <v>770</v>
      </c>
      <c r="M26" s="6" t="s">
        <v>111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112</v>
      </c>
      <c r="AJ26" s="965"/>
      <c r="AK26" s="965">
        <v>3.3799999999999997E-2</v>
      </c>
    </row>
    <row r="27" spans="1:37" ht="15" customHeight="1" x14ac:dyDescent="0.2">
      <c r="A27" s="5">
        <v>549</v>
      </c>
      <c r="B27" s="5" t="s">
        <v>115</v>
      </c>
      <c r="C27" s="5" t="s">
        <v>84</v>
      </c>
      <c r="D27" s="10"/>
      <c r="E27" s="9"/>
      <c r="F27" s="8"/>
      <c r="G27" s="5" t="s">
        <v>116</v>
      </c>
      <c r="H27" s="5" t="s">
        <v>117</v>
      </c>
      <c r="I27" s="8"/>
      <c r="J27" s="7">
        <v>722</v>
      </c>
      <c r="K27" s="8" t="s">
        <v>110</v>
      </c>
      <c r="L27" s="754">
        <v>770</v>
      </c>
      <c r="M27" s="6" t="s">
        <v>111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115</v>
      </c>
      <c r="AJ27" s="965">
        <v>9.2299999999999993E-2</v>
      </c>
      <c r="AK27" s="965">
        <v>9.2299999999999993E-2</v>
      </c>
    </row>
    <row r="28" spans="1:37" ht="15" customHeight="1" x14ac:dyDescent="0.2">
      <c r="A28" s="5">
        <v>599</v>
      </c>
      <c r="B28" s="5" t="s">
        <v>118</v>
      </c>
      <c r="C28" s="5" t="s">
        <v>68</v>
      </c>
      <c r="D28" s="10"/>
      <c r="E28" s="9"/>
      <c r="F28" s="8"/>
      <c r="G28" s="5" t="s">
        <v>119</v>
      </c>
      <c r="H28" s="5" t="s">
        <v>120</v>
      </c>
      <c r="I28" s="8"/>
      <c r="J28" s="7">
        <v>722</v>
      </c>
      <c r="K28" s="8" t="s">
        <v>110</v>
      </c>
      <c r="L28" s="754">
        <v>780</v>
      </c>
      <c r="M28" s="6" t="s">
        <v>121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118</v>
      </c>
      <c r="AJ28" s="965">
        <v>9.7500000000000003E-2</v>
      </c>
      <c r="AK28" s="965">
        <v>0.09</v>
      </c>
    </row>
    <row r="29" spans="1:37" ht="15" customHeight="1" x14ac:dyDescent="0.2">
      <c r="A29" s="5">
        <v>705</v>
      </c>
      <c r="B29" s="5" t="s">
        <v>122</v>
      </c>
      <c r="C29" s="5" t="s">
        <v>64</v>
      </c>
      <c r="D29" s="10"/>
      <c r="E29" s="9"/>
      <c r="F29" s="8"/>
      <c r="G29" s="5" t="s">
        <v>123</v>
      </c>
      <c r="H29" s="5" t="s">
        <v>124</v>
      </c>
      <c r="I29" s="8"/>
      <c r="J29" s="7">
        <v>722</v>
      </c>
      <c r="K29" s="8" t="s">
        <v>110</v>
      </c>
      <c r="L29" s="754">
        <v>780</v>
      </c>
      <c r="M29" s="6" t="s">
        <v>121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122</v>
      </c>
      <c r="AJ29" s="965">
        <v>0.15</v>
      </c>
      <c r="AK29" s="965">
        <v>0.15</v>
      </c>
    </row>
    <row r="30" spans="1:37" ht="15" customHeight="1" x14ac:dyDescent="0.2">
      <c r="A30" s="5">
        <v>729</v>
      </c>
      <c r="B30" s="5" t="s">
        <v>125</v>
      </c>
      <c r="C30" s="5" t="s">
        <v>68</v>
      </c>
      <c r="D30" s="10"/>
      <c r="E30" s="9"/>
      <c r="F30" s="8"/>
      <c r="G30" s="5" t="s">
        <v>126</v>
      </c>
      <c r="H30" s="5" t="s">
        <v>127</v>
      </c>
      <c r="I30" s="8"/>
      <c r="J30" s="7">
        <v>722</v>
      </c>
      <c r="K30" s="8" t="s">
        <v>110</v>
      </c>
      <c r="L30" s="754">
        <v>780</v>
      </c>
      <c r="M30" s="6" t="s">
        <v>121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125</v>
      </c>
      <c r="AJ30" s="965">
        <v>9.7500000000000003E-2</v>
      </c>
      <c r="AK30" s="965">
        <v>0.09</v>
      </c>
    </row>
    <row r="31" spans="1:37" ht="15" customHeight="1" x14ac:dyDescent="0.2">
      <c r="A31" s="5">
        <v>761</v>
      </c>
      <c r="B31" s="5" t="s">
        <v>128</v>
      </c>
      <c r="C31" s="5" t="s">
        <v>41</v>
      </c>
      <c r="D31" s="10"/>
      <c r="E31" s="9"/>
      <c r="F31" s="8"/>
      <c r="G31" s="5" t="s">
        <v>129</v>
      </c>
      <c r="H31" s="5" t="s">
        <v>130</v>
      </c>
      <c r="I31" s="8"/>
      <c r="J31" s="7">
        <v>722</v>
      </c>
      <c r="K31" s="8" t="s">
        <v>110</v>
      </c>
      <c r="L31" s="754">
        <v>780</v>
      </c>
      <c r="M31" s="6" t="s">
        <v>121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128</v>
      </c>
      <c r="AJ31" s="965">
        <v>4.4999999999999998E-2</v>
      </c>
      <c r="AK31" s="965">
        <v>5.2499999999999998E-2</v>
      </c>
    </row>
    <row r="32" spans="1:37" ht="15" customHeight="1" x14ac:dyDescent="0.2">
      <c r="A32" s="5"/>
      <c r="D32" s="10"/>
      <c r="E32" s="9"/>
      <c r="F32" s="8"/>
      <c r="G32" s="5" t="s">
        <v>131</v>
      </c>
      <c r="H32" s="5" t="s">
        <v>132</v>
      </c>
      <c r="I32" s="8"/>
      <c r="J32" s="7">
        <v>722</v>
      </c>
      <c r="K32" s="8" t="s">
        <v>110</v>
      </c>
      <c r="L32" s="754">
        <v>780</v>
      </c>
      <c r="M32" s="6" t="s">
        <v>121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66"/>
      <c r="AK32" s="966"/>
    </row>
    <row r="33" spans="1:37" ht="15" customHeight="1" x14ac:dyDescent="0.2">
      <c r="A33" s="5">
        <v>255</v>
      </c>
      <c r="B33" s="5" t="s">
        <v>133</v>
      </c>
      <c r="C33" s="5" t="s">
        <v>36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133</v>
      </c>
      <c r="AJ33" s="966"/>
      <c r="AK33" s="966"/>
    </row>
    <row r="34" spans="1:37" ht="15" customHeight="1" x14ac:dyDescent="0.2">
      <c r="A34" s="5">
        <v>261</v>
      </c>
      <c r="B34" s="5" t="s">
        <v>134</v>
      </c>
      <c r="C34" s="5" t="s">
        <v>24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134</v>
      </c>
      <c r="AJ34" s="966"/>
      <c r="AK34" s="966"/>
    </row>
    <row r="35" spans="1:37" ht="15" customHeight="1" x14ac:dyDescent="0.2">
      <c r="A35" s="5">
        <v>516</v>
      </c>
      <c r="B35" s="5" t="s">
        <v>135</v>
      </c>
      <c r="C35" s="5" t="s">
        <v>34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135</v>
      </c>
      <c r="AJ35" s="966"/>
      <c r="AK35" s="966"/>
    </row>
    <row r="36" spans="1:37" ht="15" customHeight="1" x14ac:dyDescent="0.2">
      <c r="A36" s="5">
        <v>593</v>
      </c>
      <c r="B36" s="5" t="s">
        <v>136</v>
      </c>
      <c r="C36" s="5" t="s">
        <v>24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136</v>
      </c>
      <c r="AJ36" s="965">
        <v>5.5E-2</v>
      </c>
      <c r="AK36" s="965">
        <v>5.5E-2</v>
      </c>
    </row>
    <row r="37" spans="1:37" ht="15" customHeight="1" x14ac:dyDescent="0.2">
      <c r="A37" s="5">
        <v>597</v>
      </c>
      <c r="B37" s="5" t="s">
        <v>137</v>
      </c>
      <c r="C37" s="5" t="s">
        <v>24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137</v>
      </c>
      <c r="AJ37" s="965">
        <v>5.5E-2</v>
      </c>
      <c r="AK37" s="965">
        <v>5.5E-2</v>
      </c>
    </row>
    <row r="38" spans="1:37" ht="15" customHeight="1" x14ac:dyDescent="0.2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66"/>
      <c r="AK38" s="966"/>
    </row>
    <row r="39" spans="1:37" ht="15" customHeight="1" x14ac:dyDescent="0.2">
      <c r="A39" s="5">
        <v>71</v>
      </c>
      <c r="B39" s="5" t="s">
        <v>138</v>
      </c>
      <c r="C39" s="5" t="s">
        <v>64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138</v>
      </c>
      <c r="AJ39" s="966"/>
      <c r="AK39" s="966"/>
    </row>
    <row r="40" spans="1:37" ht="15" customHeight="1" x14ac:dyDescent="0.2">
      <c r="A40" s="5">
        <v>72</v>
      </c>
      <c r="B40" s="5" t="s">
        <v>139</v>
      </c>
      <c r="C40" s="5" t="s">
        <v>41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139</v>
      </c>
      <c r="AJ40" s="966"/>
      <c r="AK40" s="966"/>
    </row>
    <row r="41" spans="1:37" ht="15" customHeight="1" x14ac:dyDescent="0.2">
      <c r="A41" s="5">
        <v>114</v>
      </c>
      <c r="B41" s="5" t="s">
        <v>140</v>
      </c>
      <c r="C41" s="5" t="s">
        <v>84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140</v>
      </c>
      <c r="AJ41" s="966"/>
      <c r="AK41" s="966"/>
    </row>
    <row r="42" spans="1:37" ht="15" customHeight="1" x14ac:dyDescent="0.2">
      <c r="A42" s="5">
        <v>143</v>
      </c>
      <c r="B42" s="5" t="s">
        <v>141</v>
      </c>
      <c r="C42" s="5" t="s">
        <v>36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141</v>
      </c>
      <c r="AJ42" s="966"/>
      <c r="AK42" s="966"/>
    </row>
    <row r="43" spans="1:37" ht="15" customHeight="1" x14ac:dyDescent="0.2">
      <c r="A43" s="5">
        <v>210</v>
      </c>
      <c r="B43" s="5" t="s">
        <v>142</v>
      </c>
      <c r="C43" s="5" t="s">
        <v>52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142</v>
      </c>
      <c r="AJ43" s="966"/>
      <c r="AK43" s="966"/>
    </row>
    <row r="44" spans="1:37" ht="15" customHeight="1" x14ac:dyDescent="0.2">
      <c r="A44" s="5">
        <v>212</v>
      </c>
      <c r="B44" s="5" t="s">
        <v>143</v>
      </c>
      <c r="C44" s="5" t="s">
        <v>68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143</v>
      </c>
      <c r="AJ44" s="966"/>
      <c r="AK44" s="966">
        <v>0.10879999999999999</v>
      </c>
    </row>
    <row r="45" spans="1:37" ht="15" customHeight="1" x14ac:dyDescent="0.2">
      <c r="A45" s="5">
        <v>219</v>
      </c>
      <c r="B45" s="5" t="s">
        <v>144</v>
      </c>
      <c r="C45" s="5" t="s">
        <v>76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144</v>
      </c>
      <c r="AJ45" s="966"/>
      <c r="AK45" s="966"/>
    </row>
    <row r="46" spans="1:37" ht="15" customHeight="1" x14ac:dyDescent="0.2">
      <c r="A46" s="5">
        <v>233</v>
      </c>
      <c r="B46" s="5" t="s">
        <v>145</v>
      </c>
      <c r="C46" s="5" t="s">
        <v>31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145</v>
      </c>
      <c r="AJ46" s="966"/>
      <c r="AK46" s="966"/>
    </row>
    <row r="47" spans="1:37" ht="15" customHeight="1" x14ac:dyDescent="0.2">
      <c r="A47" s="5">
        <v>244</v>
      </c>
      <c r="B47" s="5" t="s">
        <v>146</v>
      </c>
      <c r="C47" s="5" t="s">
        <v>88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146</v>
      </c>
      <c r="AJ47" s="966"/>
      <c r="AK47" s="966"/>
    </row>
    <row r="48" spans="1:37" ht="15" customHeight="1" x14ac:dyDescent="0.2">
      <c r="A48" s="5">
        <v>262</v>
      </c>
      <c r="B48" s="5" t="s">
        <v>147</v>
      </c>
      <c r="C48" s="5" t="s">
        <v>24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147</v>
      </c>
      <c r="AJ48" s="965">
        <v>5.5E-2</v>
      </c>
      <c r="AK48" s="965">
        <v>5.5E-2</v>
      </c>
    </row>
    <row r="49" spans="1:37" ht="15" customHeight="1" x14ac:dyDescent="0.2">
      <c r="A49" s="5">
        <v>285</v>
      </c>
      <c r="B49" s="5" t="s">
        <v>148</v>
      </c>
      <c r="C49" s="5" t="s">
        <v>72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148</v>
      </c>
      <c r="AJ49" s="966"/>
      <c r="AK49" s="966">
        <v>0.03</v>
      </c>
    </row>
    <row r="50" spans="1:37" ht="15" customHeight="1" x14ac:dyDescent="0.2">
      <c r="A50" s="5">
        <v>538</v>
      </c>
      <c r="B50" s="5" t="s">
        <v>149</v>
      </c>
      <c r="C50" s="5" t="s">
        <v>24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149</v>
      </c>
      <c r="AJ50" s="965">
        <v>5.3499999999999999E-2</v>
      </c>
      <c r="AK50" s="965">
        <v>5.6599999999999998E-2</v>
      </c>
    </row>
    <row r="51" spans="1:37" ht="15" customHeight="1" x14ac:dyDescent="0.2">
      <c r="A51" s="5">
        <v>668</v>
      </c>
      <c r="B51" s="5" t="s">
        <v>150</v>
      </c>
      <c r="C51" s="5" t="s">
        <v>31</v>
      </c>
      <c r="AH51" s="5">
        <v>668</v>
      </c>
      <c r="AI51" s="5" t="s">
        <v>150</v>
      </c>
      <c r="AJ51" s="966"/>
      <c r="AK51" s="966"/>
    </row>
    <row r="52" spans="1:37" ht="15" customHeight="1" x14ac:dyDescent="0.2">
      <c r="A52" s="5">
        <v>706</v>
      </c>
      <c r="B52" s="5" t="s">
        <v>151</v>
      </c>
      <c r="C52" s="5" t="s">
        <v>36</v>
      </c>
      <c r="AH52" s="5">
        <v>706</v>
      </c>
      <c r="AI52" s="5" t="s">
        <v>151</v>
      </c>
      <c r="AJ52" s="966"/>
      <c r="AK52" s="966"/>
    </row>
    <row r="53" spans="1:37" ht="15" customHeight="1" x14ac:dyDescent="0.2">
      <c r="AH53" s="6"/>
      <c r="AJ53" s="966"/>
      <c r="AK53" s="966"/>
    </row>
    <row r="54" spans="1:37" ht="15" customHeight="1" x14ac:dyDescent="0.2">
      <c r="A54" s="5">
        <v>9</v>
      </c>
      <c r="B54" s="5" t="s">
        <v>152</v>
      </c>
      <c r="C54" s="5" t="s">
        <v>24</v>
      </c>
      <c r="AH54" s="5">
        <v>9</v>
      </c>
      <c r="AI54" s="5" t="s">
        <v>152</v>
      </c>
      <c r="AJ54" s="966"/>
      <c r="AK54" s="966"/>
    </row>
    <row r="55" spans="1:37" ht="15" customHeight="1" x14ac:dyDescent="0.2">
      <c r="AJ55" s="966"/>
      <c r="AK55" s="966"/>
    </row>
    <row r="56" spans="1:37" ht="15" customHeight="1" x14ac:dyDescent="0.2">
      <c r="AJ56" s="966"/>
      <c r="AK56" s="966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13" activePane="bottomRight" state="frozen"/>
      <selection pane="topRight" activeCell="D14" sqref="D14"/>
      <selection pane="bottomLeft" activeCell="D14" sqref="D14"/>
      <selection pane="bottomRight" activeCell="E51" sqref="E51"/>
    </sheetView>
  </sheetViews>
  <sheetFormatPr defaultColWidth="9.28515625" defaultRowHeight="12.75" customHeight="1" outlineLevelCol="1" x14ac:dyDescent="0.2"/>
  <cols>
    <col min="1" max="1" width="14.42578125" style="439" customWidth="1" outlineLevel="1"/>
    <col min="2" max="2" width="9.28515625" style="439" customWidth="1" outlineLevel="1"/>
    <col min="3" max="3" width="48.7109375" style="439" bestFit="1" customWidth="1"/>
    <col min="4" max="8" width="20.7109375" style="439" customWidth="1"/>
    <col min="9" max="9" width="7.7109375" style="439" customWidth="1"/>
    <col min="10" max="16384" width="9.28515625" style="439"/>
  </cols>
  <sheetData>
    <row r="1" spans="1:9" ht="19.899999999999999" customHeight="1" x14ac:dyDescent="0.25">
      <c r="C1" s="60" t="str">
        <f>+'0. Instructions'!$A$1</f>
        <v>Budget 2024</v>
      </c>
      <c r="D1" s="60"/>
      <c r="E1" s="60"/>
      <c r="F1" s="459"/>
      <c r="G1" s="598"/>
      <c r="H1" s="598"/>
      <c r="I1" s="565"/>
    </row>
    <row r="2" spans="1:9" ht="19.899999999999999" customHeight="1" thickBot="1" x14ac:dyDescent="0.3">
      <c r="C2" s="55" t="s">
        <v>732</v>
      </c>
      <c r="D2" s="55"/>
      <c r="E2" s="55"/>
      <c r="F2" s="55"/>
      <c r="G2" s="55"/>
      <c r="H2" s="55"/>
      <c r="I2" s="55"/>
    </row>
    <row r="3" spans="1:9" ht="37.9" customHeight="1" x14ac:dyDescent="0.25">
      <c r="A3" s="534"/>
      <c r="B3" s="534"/>
      <c r="C3" s="533"/>
      <c r="D3" s="563"/>
      <c r="E3" s="563"/>
      <c r="F3" s="563"/>
      <c r="G3" s="563"/>
      <c r="H3" s="563"/>
      <c r="I3" s="533"/>
    </row>
    <row r="4" spans="1:9" ht="15" x14ac:dyDescent="0.25">
      <c r="A4" s="534"/>
      <c r="B4" s="534"/>
      <c r="C4" s="533"/>
      <c r="D4" s="563"/>
      <c r="E4" s="563"/>
      <c r="F4" s="563"/>
      <c r="G4" s="563"/>
      <c r="H4" s="563"/>
      <c r="I4" s="533"/>
    </row>
    <row r="5" spans="1:9" ht="15" x14ac:dyDescent="0.25">
      <c r="A5" s="534"/>
      <c r="B5" s="534"/>
      <c r="C5" s="534"/>
      <c r="D5" s="608"/>
      <c r="E5" s="608"/>
      <c r="F5" s="608"/>
      <c r="G5" s="608"/>
      <c r="H5" s="608"/>
      <c r="I5" s="532"/>
    </row>
    <row r="6" spans="1:9" ht="30" customHeight="1" x14ac:dyDescent="0.25">
      <c r="A6" s="534"/>
      <c r="B6" s="534"/>
      <c r="C6" s="533"/>
      <c r="D6" s="609" t="s">
        <v>734</v>
      </c>
      <c r="E6" s="609" t="s">
        <v>735</v>
      </c>
      <c r="F6" s="609" t="s">
        <v>736</v>
      </c>
      <c r="G6" s="609" t="s">
        <v>738</v>
      </c>
      <c r="H6" s="609" t="s">
        <v>739</v>
      </c>
      <c r="I6" s="562"/>
    </row>
    <row r="7" spans="1:9" ht="30" customHeight="1" x14ac:dyDescent="0.25">
      <c r="A7" s="534"/>
      <c r="B7" s="534"/>
      <c r="C7" s="559"/>
      <c r="D7" s="559" t="s">
        <v>1015</v>
      </c>
      <c r="E7" s="559" t="s">
        <v>1016</v>
      </c>
      <c r="F7" s="559" t="s">
        <v>192</v>
      </c>
      <c r="G7" s="559" t="s">
        <v>742</v>
      </c>
      <c r="H7" s="559" t="s">
        <v>1017</v>
      </c>
      <c r="I7" s="581"/>
    </row>
    <row r="8" spans="1:9" ht="15" x14ac:dyDescent="0.25">
      <c r="A8" s="534" t="s">
        <v>1018</v>
      </c>
      <c r="B8" s="534"/>
      <c r="C8" s="569" t="s">
        <v>659</v>
      </c>
      <c r="D8" s="583">
        <f>IFERROR(VLOOKUP($A8,Race_2024!A:L,7,FALSE),0)</f>
        <v>1096709.209</v>
      </c>
      <c r="E8" s="583">
        <f>IFERROR(VLOOKUP($A8,Race_2024!A:L,9,FALSE),0)</f>
        <v>650056.82700000005</v>
      </c>
      <c r="F8" s="583">
        <f>IFERROR(VLOOKUP($A8,Race_2024!A:L,8,FALSE),0)</f>
        <v>772492.52500000002</v>
      </c>
      <c r="G8" s="583">
        <f>IFERROR(VLOOKUP($A8,Race_2024!A:L,11,FALSE),0)</f>
        <v>3415962.44</v>
      </c>
      <c r="H8" s="568">
        <f>IFERROR(VLOOKUP($A8,Race_2024!A:L,12,FALSE),0)</f>
        <v>1199751.1950000001</v>
      </c>
      <c r="I8" s="581"/>
    </row>
    <row r="9" spans="1:9" ht="15" x14ac:dyDescent="0.25">
      <c r="A9" s="534" t="s">
        <v>1019</v>
      </c>
      <c r="B9" s="534"/>
      <c r="C9" s="567" t="s">
        <v>1020</v>
      </c>
      <c r="D9" s="566">
        <f>IFERROR(VLOOKUP($A9,Race_2024!A:L,7,FALSE),0)</f>
        <v>444838.22200000001</v>
      </c>
      <c r="E9" s="566">
        <f>IFERROR(VLOOKUP($A9,Race_2024!A:L,9,FALSE),0)</f>
        <v>276355.734</v>
      </c>
      <c r="F9" s="566">
        <f>IFERROR(VLOOKUP($A9,Race_2024!A:L,8,FALSE),0)</f>
        <v>386462.07</v>
      </c>
      <c r="G9" s="566">
        <f>IFERROR(VLOOKUP($A9,Race_2024!A:L,11,FALSE),0)</f>
        <v>376213.61</v>
      </c>
      <c r="H9" s="577">
        <f>IFERROR(VLOOKUP($A9,Race_2024!A:L,12,FALSE),0)</f>
        <v>189978.14499999999</v>
      </c>
      <c r="I9" s="581"/>
    </row>
    <row r="10" spans="1:9" ht="15" x14ac:dyDescent="0.25">
      <c r="A10" s="534" t="s">
        <v>1021</v>
      </c>
      <c r="B10" s="534"/>
      <c r="C10" s="567" t="s">
        <v>1022</v>
      </c>
      <c r="D10" s="566">
        <f>IFERROR(VLOOKUP($A10,Race_2024!A:L,7,FALSE),0)</f>
        <v>0</v>
      </c>
      <c r="E10" s="566">
        <f>IFERROR(VLOOKUP($A10,Race_2024!A:L,9,FALSE),0)</f>
        <v>118023.084</v>
      </c>
      <c r="F10" s="566">
        <f>IFERROR(VLOOKUP($A10,Race_2024!A:L,8,FALSE),0)</f>
        <v>16936.73</v>
      </c>
      <c r="G10" s="566">
        <f>IFERROR(VLOOKUP($A10,Race_2024!A:L,11,FALSE),0)</f>
        <v>127311.83</v>
      </c>
      <c r="H10" s="577">
        <f>IFERROR(VLOOKUP($A10,Race_2024!A:L,12,FALSE),0)</f>
        <v>99610.05</v>
      </c>
      <c r="I10" s="581"/>
    </row>
    <row r="11" spans="1:9" ht="15" x14ac:dyDescent="0.25">
      <c r="A11" s="534" t="s">
        <v>1023</v>
      </c>
      <c r="B11" s="534"/>
      <c r="C11" s="567" t="s">
        <v>1024</v>
      </c>
      <c r="D11" s="566">
        <f>IFERROR(VLOOKUP($A11,Race_2024!A:L,7,FALSE),0)</f>
        <v>0</v>
      </c>
      <c r="E11" s="566">
        <f>IFERROR(VLOOKUP($A11,Race_2024!A:L,9,FALSE),0)</f>
        <v>0</v>
      </c>
      <c r="F11" s="566">
        <f>IFERROR(VLOOKUP($A11,Race_2024!A:L,8,FALSE),0)</f>
        <v>0</v>
      </c>
      <c r="G11" s="566">
        <f>IFERROR(VLOOKUP($A11,Race_2024!A:L,11,FALSE),0)</f>
        <v>0</v>
      </c>
      <c r="H11" s="577">
        <f>IFERROR(VLOOKUP($A11,Race_2024!A:L,12,FALSE),0)</f>
        <v>0</v>
      </c>
      <c r="I11" s="581"/>
    </row>
    <row r="12" spans="1:9" ht="15" x14ac:dyDescent="0.25">
      <c r="A12" s="534" t="s">
        <v>1025</v>
      </c>
      <c r="B12" s="534"/>
      <c r="C12" s="596" t="s">
        <v>1026</v>
      </c>
      <c r="D12" s="573">
        <f>IFERROR(VLOOKUP($A12,Race_2024!A:L,7,FALSE),0)</f>
        <v>651870.98699999996</v>
      </c>
      <c r="E12" s="573">
        <f>IFERROR(VLOOKUP($A12,Race_2024!A:L,9,FALSE),0)</f>
        <v>255678.00899999999</v>
      </c>
      <c r="F12" s="573">
        <f>IFERROR(VLOOKUP($A12,Race_2024!A:L,8,FALSE),0)</f>
        <v>369093.72499999998</v>
      </c>
      <c r="G12" s="573">
        <f>IFERROR(VLOOKUP($A12,Race_2024!A:L,11,FALSE),0)</f>
        <v>2912437</v>
      </c>
      <c r="H12" s="572">
        <f>IFERROR(VLOOKUP($A12,Race_2024!A:L,12,FALSE),0)</f>
        <v>910163</v>
      </c>
      <c r="I12" s="581"/>
    </row>
    <row r="13" spans="1:9" ht="15" x14ac:dyDescent="0.25">
      <c r="A13" s="534"/>
      <c r="B13" s="534"/>
      <c r="C13" s="542"/>
      <c r="D13" s="542"/>
      <c r="E13" s="542"/>
      <c r="F13" s="542"/>
      <c r="G13" s="542"/>
      <c r="H13" s="542"/>
      <c r="I13" s="542"/>
    </row>
    <row r="14" spans="1:9" ht="15" x14ac:dyDescent="0.25">
      <c r="A14" s="534" t="s">
        <v>1027</v>
      </c>
      <c r="B14" s="534"/>
      <c r="C14" s="569" t="s">
        <v>1028</v>
      </c>
      <c r="D14" s="594">
        <f>IFERROR(VLOOKUP($A14,Race_2024!A:L,7,FALSE),0)</f>
        <v>2455884.02</v>
      </c>
      <c r="E14" s="594">
        <f>IFERROR(VLOOKUP($A14,Race_2024!A:L,9,FALSE),0)</f>
        <v>2653161.111</v>
      </c>
      <c r="F14" s="594">
        <f>IFERROR(VLOOKUP($A14,Race_2024!A:L,8,FALSE),0)</f>
        <v>1996312.155</v>
      </c>
      <c r="G14" s="594">
        <f>IFERROR(VLOOKUP($A14,Race_2024!A:L,11,FALSE),0)</f>
        <v>3729757.398</v>
      </c>
      <c r="H14" s="593">
        <f>IFERROR(VLOOKUP($A14,Race_2024!A:L,12,FALSE),0)</f>
        <v>3389678.0019999999</v>
      </c>
      <c r="I14" s="542"/>
    </row>
    <row r="15" spans="1:9" ht="15" x14ac:dyDescent="0.25">
      <c r="A15" s="534"/>
      <c r="B15" s="534"/>
      <c r="C15" s="620"/>
      <c r="D15" s="621"/>
      <c r="E15" s="621"/>
      <c r="F15" s="621"/>
      <c r="G15" s="621"/>
      <c r="H15" s="622"/>
      <c r="I15" s="542"/>
    </row>
    <row r="16" spans="1:9" ht="15" x14ac:dyDescent="0.25">
      <c r="A16" s="534"/>
      <c r="B16" s="534"/>
      <c r="C16" s="542"/>
      <c r="D16" s="542"/>
      <c r="E16" s="542"/>
      <c r="F16" s="542"/>
      <c r="G16" s="542"/>
      <c r="H16" s="542"/>
      <c r="I16" s="542"/>
    </row>
    <row r="17" spans="1:9" ht="15" x14ac:dyDescent="0.25">
      <c r="A17" s="534" t="s">
        <v>1029</v>
      </c>
      <c r="B17" s="534"/>
      <c r="C17" s="569" t="s">
        <v>1030</v>
      </c>
      <c r="D17" s="594">
        <f>IFERROR(VLOOKUP($A17,Race_2024!A:L,7,FALSE),0)</f>
        <v>2680028.9780000001</v>
      </c>
      <c r="E17" s="594">
        <f>IFERROR(VLOOKUP($A17,Race_2024!A:L,9,FALSE),0)</f>
        <v>1638242.443</v>
      </c>
      <c r="F17" s="594">
        <f>IFERROR(VLOOKUP($A17,Race_2024!A:L,8,FALSE),0)</f>
        <v>2837119.298</v>
      </c>
      <c r="G17" s="594">
        <f>IFERROR(VLOOKUP($A17,Race_2024!A:L,11,FALSE),0)</f>
        <v>1797179.662</v>
      </c>
      <c r="H17" s="593">
        <f>IFERROR(VLOOKUP($A17,Race_2024!A:L,12,FALSE),0)</f>
        <v>2579924.8139999998</v>
      </c>
      <c r="I17" s="581"/>
    </row>
    <row r="18" spans="1:9" ht="15" x14ac:dyDescent="0.25">
      <c r="A18" s="534"/>
      <c r="B18" s="534"/>
      <c r="C18" s="623"/>
      <c r="D18" s="624"/>
      <c r="E18" s="624"/>
      <c r="F18" s="624"/>
      <c r="G18" s="624"/>
      <c r="H18" s="625"/>
      <c r="I18" s="581"/>
    </row>
    <row r="19" spans="1:9" ht="15" x14ac:dyDescent="0.25">
      <c r="A19" s="534"/>
      <c r="B19" s="534"/>
      <c r="C19" s="591" t="s">
        <v>658</v>
      </c>
      <c r="D19" s="812">
        <f>D8+D14-D17</f>
        <v>872564.25100000016</v>
      </c>
      <c r="E19" s="812">
        <f t="shared" ref="E19:G19" si="0">E8+E14-E17</f>
        <v>1664975.4950000001</v>
      </c>
      <c r="F19" s="812">
        <f t="shared" si="0"/>
        <v>-68314.617999999784</v>
      </c>
      <c r="G19" s="812">
        <f t="shared" si="0"/>
        <v>5348540.175999999</v>
      </c>
      <c r="H19" s="812">
        <f>H8+H14-H17</f>
        <v>2009504.3829999999</v>
      </c>
      <c r="I19" s="588"/>
    </row>
    <row r="20" spans="1:9" ht="15" x14ac:dyDescent="0.25">
      <c r="A20" s="534"/>
      <c r="B20" s="534"/>
      <c r="C20" s="580"/>
      <c r="D20" s="580"/>
      <c r="E20" s="580"/>
      <c r="F20" s="580"/>
      <c r="G20" s="580"/>
      <c r="H20" s="580"/>
      <c r="I20" s="581"/>
    </row>
    <row r="21" spans="1:9" ht="15" x14ac:dyDescent="0.25">
      <c r="A21" s="534"/>
      <c r="B21" s="534"/>
      <c r="C21" s="569" t="s">
        <v>1031</v>
      </c>
      <c r="D21" s="813">
        <f>SUM(D22:D23)</f>
        <v>20</v>
      </c>
      <c r="E21" s="813">
        <f>SUM(E22:E23)</f>
        <v>28</v>
      </c>
      <c r="F21" s="813">
        <f>SUM(F22:F23)</f>
        <v>27</v>
      </c>
      <c r="G21" s="813">
        <f>SUM(G22:G23)</f>
        <v>28</v>
      </c>
      <c r="H21" s="814">
        <f>SUM(H22:H23)</f>
        <v>31</v>
      </c>
      <c r="I21" s="581"/>
    </row>
    <row r="22" spans="1:9" ht="15" x14ac:dyDescent="0.25">
      <c r="A22" s="532" t="s">
        <v>1032</v>
      </c>
      <c r="B22" s="532"/>
      <c r="C22" s="579" t="s">
        <v>1033</v>
      </c>
      <c r="D22" s="566">
        <f>IFERROR(VLOOKUP($A22,Race_2024!A:L,7,FALSE),0)</f>
        <v>15</v>
      </c>
      <c r="E22" s="566">
        <f>IFERROR(VLOOKUP($A22,Race_2024!A:L,9,FALSE),0)</f>
        <v>23</v>
      </c>
      <c r="F22" s="566">
        <f>IFERROR(VLOOKUP($A22,Race_2024!A:L,8,FALSE),0)</f>
        <v>23</v>
      </c>
      <c r="G22" s="566">
        <f>IFERROR(VLOOKUP($A22,Race_2024!A:L,11,FALSE),0)</f>
        <v>23</v>
      </c>
      <c r="H22" s="577">
        <f>IFERROR(VLOOKUP($A22,Race_2024!A:L,12,FALSE),0)</f>
        <v>26</v>
      </c>
      <c r="I22" s="581"/>
    </row>
    <row r="23" spans="1:9" ht="15" x14ac:dyDescent="0.25">
      <c r="A23" s="534" t="s">
        <v>1034</v>
      </c>
      <c r="B23" s="534"/>
      <c r="C23" s="579" t="s">
        <v>1035</v>
      </c>
      <c r="D23" s="566">
        <f>IFERROR(VLOOKUP($A23,Race_2024!A:L,7,FALSE),0)</f>
        <v>5</v>
      </c>
      <c r="E23" s="566">
        <f>IFERROR(VLOOKUP($A23,Race_2024!A:L,9,FALSE),0)</f>
        <v>5</v>
      </c>
      <c r="F23" s="566">
        <f>IFERROR(VLOOKUP($A23,Race_2024!A:L,8,FALSE),0)</f>
        <v>4</v>
      </c>
      <c r="G23" s="566">
        <f>IFERROR(VLOOKUP($A23,Race_2024!A:L,11,FALSE),0)</f>
        <v>5</v>
      </c>
      <c r="H23" s="577">
        <f>IFERROR(VLOOKUP($A23,Race_2024!A:L,12,FALSE),0)</f>
        <v>5</v>
      </c>
      <c r="I23" s="581"/>
    </row>
    <row r="24" spans="1:9" ht="15" x14ac:dyDescent="0.25">
      <c r="A24" s="534" t="s">
        <v>1036</v>
      </c>
      <c r="B24" s="534"/>
      <c r="C24" s="579" t="s">
        <v>1037</v>
      </c>
      <c r="D24" s="566">
        <f>IFERROR(VLOOKUP($A24,Race_2024!A:L,7,FALSE),0)</f>
        <v>0</v>
      </c>
      <c r="E24" s="566">
        <f>IFERROR(VLOOKUP($A24,Race_2024!A:L,9,FALSE),0)</f>
        <v>0</v>
      </c>
      <c r="F24" s="566">
        <f>IFERROR(VLOOKUP($A24,Race_2024!A:L,8,FALSE),0)</f>
        <v>0</v>
      </c>
      <c r="G24" s="566">
        <f>IFERROR(VLOOKUP($A24,Race_2024!A:L,11,FALSE),0)</f>
        <v>0</v>
      </c>
      <c r="H24" s="577">
        <f>IFERROR(VLOOKUP($A24,Race_2024!A:L,12,FALSE),0)</f>
        <v>0</v>
      </c>
      <c r="I24" s="532"/>
    </row>
    <row r="25" spans="1:9" ht="15" x14ac:dyDescent="0.25">
      <c r="A25" s="534" t="s">
        <v>1038</v>
      </c>
      <c r="B25" s="534"/>
      <c r="C25" s="579" t="s">
        <v>1039</v>
      </c>
      <c r="D25" s="566">
        <f>IFERROR(VLOOKUP($A25,Race_2024!A:L,7,FALSE),0)</f>
        <v>0</v>
      </c>
      <c r="E25" s="566">
        <f>IFERROR(VLOOKUP($A25,Race_2024!A:L,9,FALSE),0)</f>
        <v>0</v>
      </c>
      <c r="F25" s="566">
        <f>IFERROR(VLOOKUP($A25,Race_2024!A:L,8,FALSE),0)</f>
        <v>0</v>
      </c>
      <c r="G25" s="566">
        <f>IFERROR(VLOOKUP($A25,Race_2024!A:L,11,FALSE),0)</f>
        <v>0</v>
      </c>
      <c r="H25" s="577">
        <f>IFERROR(VLOOKUP($A25,Race_2024!A:L,12,FALSE),0)</f>
        <v>0</v>
      </c>
      <c r="I25" s="580"/>
    </row>
    <row r="26" spans="1:9" ht="15" x14ac:dyDescent="0.25">
      <c r="A26" s="534" t="s">
        <v>1040</v>
      </c>
      <c r="B26" s="534"/>
      <c r="C26" s="579" t="s">
        <v>1041</v>
      </c>
      <c r="D26" s="566">
        <f>IFERROR(VLOOKUP($A26,Race_2024!A:L,7,FALSE),0)</f>
        <v>15</v>
      </c>
      <c r="E26" s="566">
        <f>IFERROR(VLOOKUP($A26,Race_2024!A:L,9,FALSE),0)</f>
        <v>23</v>
      </c>
      <c r="F26" s="566">
        <f>IFERROR(VLOOKUP($A26,Race_2024!A:L,8,FALSE),0)</f>
        <v>23</v>
      </c>
      <c r="G26" s="566">
        <f>IFERROR(VLOOKUP($A26,Race_2024!A:L,11,FALSE),0)</f>
        <v>23</v>
      </c>
      <c r="H26" s="577">
        <f>IFERROR(VLOOKUP($A26,Race_2024!A:L,12,FALSE),0)</f>
        <v>26</v>
      </c>
      <c r="I26" s="576"/>
    </row>
    <row r="27" spans="1:9" ht="15" x14ac:dyDescent="0.25">
      <c r="A27" s="534" t="s">
        <v>1042</v>
      </c>
      <c r="B27" s="534"/>
      <c r="C27" s="579" t="s">
        <v>1043</v>
      </c>
      <c r="D27" s="566">
        <f>IFERROR(VLOOKUP($A27,Race_2024!A:L,7,FALSE),0)</f>
        <v>5</v>
      </c>
      <c r="E27" s="566">
        <f>IFERROR(VLOOKUP($A27,Race_2024!A:L,9,FALSE),0)</f>
        <v>5</v>
      </c>
      <c r="F27" s="566">
        <f>IFERROR(VLOOKUP($A27,Race_2024!A:L,8,FALSE),0)</f>
        <v>4</v>
      </c>
      <c r="G27" s="566">
        <f>IFERROR(VLOOKUP($A27,Race_2024!A:L,11,FALSE),0)</f>
        <v>5</v>
      </c>
      <c r="H27" s="577">
        <f>IFERROR(VLOOKUP($A27,Race_2024!A:L,12,FALSE),0)</f>
        <v>5</v>
      </c>
      <c r="I27" s="576"/>
    </row>
    <row r="28" spans="1:9" ht="15" x14ac:dyDescent="0.25">
      <c r="A28" s="534" t="s">
        <v>1044</v>
      </c>
      <c r="B28" s="534"/>
      <c r="C28" s="578" t="s">
        <v>1045</v>
      </c>
      <c r="D28" s="566">
        <f>IFERROR(VLOOKUP($A28,Race_2024!A:L,7,FALSE),0)</f>
        <v>0</v>
      </c>
      <c r="E28" s="566">
        <f>IFERROR(VLOOKUP($A28,Race_2024!A:L,9,FALSE),0)</f>
        <v>0</v>
      </c>
      <c r="F28" s="566">
        <f>IFERROR(VLOOKUP($A28,Race_2024!A:L,8,FALSE),0)</f>
        <v>0</v>
      </c>
      <c r="G28" s="566">
        <f>IFERROR(VLOOKUP($A28,Race_2024!A:L,11,FALSE),0)</f>
        <v>0</v>
      </c>
      <c r="H28" s="577">
        <f>IFERROR(VLOOKUP($A28,Race_2024!A:L,12,FALSE),0)</f>
        <v>0</v>
      </c>
      <c r="I28" s="576"/>
    </row>
    <row r="29" spans="1:9" ht="15" x14ac:dyDescent="0.25">
      <c r="A29" s="534" t="s">
        <v>1046</v>
      </c>
      <c r="B29" s="534"/>
      <c r="C29" s="578" t="s">
        <v>1047</v>
      </c>
      <c r="D29" s="566">
        <f>IFERROR(VLOOKUP($A29,Race_2024!A:L,7,FALSE),0)</f>
        <v>0</v>
      </c>
      <c r="E29" s="566">
        <f>IFERROR(VLOOKUP($A29,Race_2024!A:L,9,FALSE),0)</f>
        <v>0</v>
      </c>
      <c r="F29" s="566">
        <f>IFERROR(VLOOKUP($A29,Race_2024!A:L,8,FALSE),0)</f>
        <v>0</v>
      </c>
      <c r="G29" s="566">
        <f>IFERROR(VLOOKUP($A29,Race_2024!A:L,11,FALSE),0)</f>
        <v>0</v>
      </c>
      <c r="H29" s="577">
        <f>IFERROR(VLOOKUP($A29,Race_2024!A:L,12,FALSE),0)</f>
        <v>0</v>
      </c>
      <c r="I29" s="576"/>
    </row>
    <row r="30" spans="1:9" ht="15" x14ac:dyDescent="0.25">
      <c r="A30" s="534" t="s">
        <v>1048</v>
      </c>
      <c r="B30" s="534"/>
      <c r="C30" s="574" t="s">
        <v>1049</v>
      </c>
      <c r="D30" s="614">
        <f>IFERROR((VLOOKUP($A30,Race_2024!A:L,7,FALSE)-D21),0)</f>
        <v>0</v>
      </c>
      <c r="E30" s="614">
        <f>IFERROR((VLOOKUP($A30,Race_2024!A:L,9,FALSE)-E21),0)</f>
        <v>0</v>
      </c>
      <c r="F30" s="614">
        <f>IFERROR((VLOOKUP($A30,Race_2024!A:L,8,FALSE)-F21),0)</f>
        <v>0</v>
      </c>
      <c r="G30" s="614">
        <f>IFERROR((VLOOKUP($A30,Race_2024!A:L,11,FALSE)-G21),0)</f>
        <v>0</v>
      </c>
      <c r="H30" s="615">
        <f>IFERROR((VLOOKUP($A30,Race_2024!A:L,12,FALSE)-H21),0)</f>
        <v>0</v>
      </c>
      <c r="I30" s="570"/>
    </row>
    <row r="31" spans="1:9" ht="12.75" customHeight="1" x14ac:dyDescent="0.25">
      <c r="A31" s="532"/>
      <c r="B31" s="532"/>
      <c r="C31" s="532"/>
      <c r="D31" s="532"/>
      <c r="E31" s="532"/>
      <c r="F31" s="532"/>
      <c r="G31" s="532"/>
      <c r="H31" s="532"/>
      <c r="I31" s="532"/>
    </row>
    <row r="32" spans="1:9" ht="12.75" customHeight="1" x14ac:dyDescent="0.25">
      <c r="A32" s="532"/>
      <c r="B32" s="532"/>
      <c r="C32" s="616" t="s">
        <v>459</v>
      </c>
      <c r="D32" s="818">
        <f>SUM(D40+D46)</f>
        <v>-1183589.571</v>
      </c>
      <c r="E32" s="818">
        <f>SUM(E40+E46)</f>
        <v>-1460008.4550000001</v>
      </c>
      <c r="F32" s="818">
        <f>SUM(F40+F46)</f>
        <v>-819403.93500000006</v>
      </c>
      <c r="G32" s="818">
        <f>SUM(G40+G46)</f>
        <v>-1636212.023</v>
      </c>
      <c r="H32" s="819">
        <f>SUM(H40+H46)</f>
        <v>-2419730.2149999999</v>
      </c>
    </row>
    <row r="33" spans="1:12" ht="12.75" customHeight="1" x14ac:dyDescent="0.25">
      <c r="A33" s="532" t="s">
        <v>1050</v>
      </c>
      <c r="B33" s="532"/>
      <c r="C33" s="619" t="s">
        <v>426</v>
      </c>
      <c r="D33" s="566">
        <f>IFERROR(VLOOKUP($A33,Race_2024!A:L,7,FALSE),0)</f>
        <v>-640552.348</v>
      </c>
      <c r="E33" s="566">
        <f>IFERROR(VLOOKUP($A33,Race_2024!A:L,9,FALSE),0)</f>
        <v>-628094.02800000005</v>
      </c>
      <c r="F33" s="566">
        <f>IFERROR(VLOOKUP($A33,Race_2024!A:L,8,FALSE),0)</f>
        <v>-305965.86700000003</v>
      </c>
      <c r="G33" s="566">
        <f>IFERROR(VLOOKUP($A33,Race_2024!A:L,11,FALSE),0)</f>
        <v>-615492.63399999996</v>
      </c>
      <c r="H33" s="577">
        <f>IFERROR(VLOOKUP($A33,Race_2024!A:L,12,FALSE),0)</f>
        <v>-689252.04</v>
      </c>
    </row>
    <row r="34" spans="1:12" ht="12.75" customHeight="1" x14ac:dyDescent="0.25">
      <c r="A34" s="532" t="s">
        <v>1051</v>
      </c>
      <c r="B34" s="532"/>
      <c r="C34" s="619" t="s">
        <v>429</v>
      </c>
      <c r="D34" s="566">
        <f>IFERROR(VLOOKUP($A34,Race_2024!A:L,7,FALSE),0)</f>
        <v>0</v>
      </c>
      <c r="E34" s="566">
        <f>IFERROR(VLOOKUP($A34,Race_2024!A:L,9,FALSE),0)</f>
        <v>0</v>
      </c>
      <c r="F34" s="566">
        <f>IFERROR(VLOOKUP($A34,Race_2024!A:L,8,FALSE),0)</f>
        <v>-10512.043</v>
      </c>
      <c r="G34" s="566">
        <f>IFERROR(VLOOKUP($A34,Race_2024!A:L,11,FALSE),0)</f>
        <v>-26914.803</v>
      </c>
      <c r="H34" s="577">
        <f>IFERROR(VLOOKUP($A34,Race_2024!A:L,12,FALSE),0)</f>
        <v>-31125.62</v>
      </c>
    </row>
    <row r="35" spans="1:12" ht="12.75" customHeight="1" x14ac:dyDescent="0.25">
      <c r="A35" s="532" t="s">
        <v>1052</v>
      </c>
      <c r="B35" s="532"/>
      <c r="C35" s="619" t="s">
        <v>431</v>
      </c>
      <c r="D35" s="566">
        <f>IFERROR(VLOOKUP($A35,Race_2024!A:L,7,FALSE),0)</f>
        <v>-59401.646000000001</v>
      </c>
      <c r="E35" s="566">
        <f>IFERROR(VLOOKUP($A35,Race_2024!A:L,9,FALSE),0)</f>
        <v>-129995.848</v>
      </c>
      <c r="F35" s="566">
        <f>IFERROR(VLOOKUP($A35,Race_2024!A:L,8,FALSE),0)</f>
        <v>-115476.109</v>
      </c>
      <c r="G35" s="566">
        <f>IFERROR(VLOOKUP($A35,Race_2024!A:L,11,FALSE),0)</f>
        <v>-189182.473</v>
      </c>
      <c r="H35" s="577">
        <f>IFERROR(VLOOKUP($A35,Race_2024!A:L,12,FALSE),0)</f>
        <v>-216646.92800000001</v>
      </c>
    </row>
    <row r="36" spans="1:12" ht="12.75" customHeight="1" x14ac:dyDescent="0.25">
      <c r="A36" s="532" t="s">
        <v>1053</v>
      </c>
      <c r="B36" s="532"/>
      <c r="C36" s="619" t="s">
        <v>434</v>
      </c>
      <c r="D36" s="566">
        <f>IFERROR(VLOOKUP($A36,Race_2024!A:L,7,FALSE),0)</f>
        <v>0</v>
      </c>
      <c r="E36" s="566">
        <f>IFERROR(VLOOKUP($A36,Race_2024!A:L,9,FALSE),0)</f>
        <v>0</v>
      </c>
      <c r="F36" s="566">
        <f>IFERROR(VLOOKUP($A36,Race_2024!A:L,8,FALSE),0)</f>
        <v>-1600</v>
      </c>
      <c r="G36" s="566">
        <f>IFERROR(VLOOKUP($A36,Race_2024!A:L,11,FALSE),0)</f>
        <v>-1600</v>
      </c>
      <c r="H36" s="577">
        <f>IFERROR(VLOOKUP($A36,Race_2024!A:L,12,FALSE),0)</f>
        <v>0</v>
      </c>
    </row>
    <row r="37" spans="1:12" ht="12.75" customHeight="1" x14ac:dyDescent="0.25">
      <c r="A37" s="532" t="s">
        <v>1054</v>
      </c>
      <c r="B37" s="532"/>
      <c r="C37" s="619" t="s">
        <v>436</v>
      </c>
      <c r="D37" s="566">
        <f>IFERROR(VLOOKUP($A37,Race_2024!A:L,7,FALSE),0)</f>
        <v>-29439.151000000002</v>
      </c>
      <c r="E37" s="566">
        <f>IFERROR(VLOOKUP($A37,Race_2024!A:L,9,FALSE),0)</f>
        <v>-44603.603999999999</v>
      </c>
      <c r="F37" s="566">
        <f>IFERROR(VLOOKUP($A37,Race_2024!A:L,8,FALSE),0)</f>
        <v>-6065.3190000000004</v>
      </c>
      <c r="G37" s="566">
        <f>IFERROR(VLOOKUP($A37,Race_2024!A:L,11,FALSE),0)</f>
        <v>0</v>
      </c>
      <c r="H37" s="577">
        <f>IFERROR(VLOOKUP($A37,Race_2024!A:L,12,FALSE),0)</f>
        <v>-26849.759999999998</v>
      </c>
    </row>
    <row r="38" spans="1:12" ht="12.75" customHeight="1" x14ac:dyDescent="0.25">
      <c r="A38" s="532" t="s">
        <v>1055</v>
      </c>
      <c r="B38" s="532"/>
      <c r="C38" s="619" t="s">
        <v>439</v>
      </c>
      <c r="D38" s="566">
        <f>IFERROR(VLOOKUP($A38,Race_2024!A:L,7,FALSE),0)</f>
        <v>-82695.37</v>
      </c>
      <c r="E38" s="566">
        <f>IFERROR(VLOOKUP($A38,Race_2024!A:L,9,FALSE),0)</f>
        <v>0</v>
      </c>
      <c r="F38" s="566">
        <f>IFERROR(VLOOKUP($A38,Race_2024!A:L,8,FALSE),0)</f>
        <v>-26635.040000000001</v>
      </c>
      <c r="G38" s="566">
        <f>IFERROR(VLOOKUP($A38,Race_2024!A:L,11,FALSE),0)</f>
        <v>-26635.040000000001</v>
      </c>
      <c r="H38" s="577">
        <f>IFERROR(VLOOKUP($A38,Race_2024!A:L,12,FALSE),0)</f>
        <v>0</v>
      </c>
    </row>
    <row r="39" spans="1:12" ht="12.75" customHeight="1" x14ac:dyDescent="0.25">
      <c r="A39" s="532" t="s">
        <v>1056</v>
      </c>
      <c r="B39" s="532"/>
      <c r="C39" s="619" t="s">
        <v>441</v>
      </c>
      <c r="D39" s="566">
        <f>IFERROR(VLOOKUP($A39,Race_2024!A:L,7,FALSE),0)</f>
        <v>-50107.192000000003</v>
      </c>
      <c r="E39" s="566">
        <f>IFERROR(VLOOKUP($A39,Race_2024!A:L,9,FALSE),0)</f>
        <v>-81298.581999999995</v>
      </c>
      <c r="F39" s="566">
        <f>IFERROR(VLOOKUP($A39,Race_2024!A:L,8,FALSE),0)</f>
        <v>-65250.928999999996</v>
      </c>
      <c r="G39" s="566">
        <f>IFERROR(VLOOKUP($A39,Race_2024!A:L,11,FALSE),0)</f>
        <v>-72598.528999999995</v>
      </c>
      <c r="H39" s="577">
        <f>IFERROR(VLOOKUP($A39,Race_2024!A:L,12,FALSE),0)</f>
        <v>-115210.77899999999</v>
      </c>
    </row>
    <row r="40" spans="1:12" ht="12.75" customHeight="1" x14ac:dyDescent="0.25">
      <c r="A40" s="532"/>
      <c r="B40" s="532"/>
      <c r="C40" s="815" t="s">
        <v>444</v>
      </c>
      <c r="D40" s="816">
        <f>SUM(D33:D39)</f>
        <v>-862195.70699999994</v>
      </c>
      <c r="E40" s="816">
        <f>SUM(E33:E39)</f>
        <v>-883992.06200000015</v>
      </c>
      <c r="F40" s="816">
        <f>SUM(F33:F39)</f>
        <v>-531505.30700000003</v>
      </c>
      <c r="G40" s="816">
        <f>SUM(G33:G39)</f>
        <v>-932423.47899999993</v>
      </c>
      <c r="H40" s="817">
        <f>SUM(H33:H39)</f>
        <v>-1079085.1270000001</v>
      </c>
    </row>
    <row r="41" spans="1:12" ht="12.75" customHeight="1" x14ac:dyDescent="0.25">
      <c r="A41" s="532" t="s">
        <v>1057</v>
      </c>
      <c r="B41" s="532"/>
      <c r="C41" s="619" t="s">
        <v>445</v>
      </c>
      <c r="D41" s="566">
        <f>IFERROR(VLOOKUP($A41,Race_2024!A:L,7,FALSE),0)</f>
        <v>-179625.17600000001</v>
      </c>
      <c r="E41" s="566">
        <f>IFERROR(VLOOKUP($A41,Race_2024!A:L,9,FALSE),0)</f>
        <v>-318846.33899999998</v>
      </c>
      <c r="F41" s="566">
        <f>IFERROR(VLOOKUP($A41,Race_2024!A:L,8,FALSE),0)</f>
        <v>-168040.886</v>
      </c>
      <c r="G41" s="566">
        <f>IFERROR(VLOOKUP($A41,Race_2024!A:L,11,FALSE),0)</f>
        <v>-441112.712</v>
      </c>
      <c r="H41" s="577">
        <f>IFERROR(VLOOKUP($A41,Race_2024!A:L,12,FALSE),0)</f>
        <v>-427894.44</v>
      </c>
    </row>
    <row r="42" spans="1:12" ht="12.75" customHeight="1" x14ac:dyDescent="0.25">
      <c r="A42" s="532" t="s">
        <v>1058</v>
      </c>
      <c r="B42" s="532"/>
      <c r="C42" s="619" t="s">
        <v>448</v>
      </c>
      <c r="D42" s="566">
        <f>IFERROR(VLOOKUP($A42,Race_2024!A:L,7,FALSE),0)</f>
        <v>-61630.360999999997</v>
      </c>
      <c r="E42" s="566">
        <f>IFERROR(VLOOKUP($A42,Race_2024!A:L,9,FALSE),0)</f>
        <v>-103312.126</v>
      </c>
      <c r="F42" s="566">
        <f>IFERROR(VLOOKUP($A42,Race_2024!A:L,8,FALSE),0)</f>
        <v>-54448.459000000003</v>
      </c>
      <c r="G42" s="566">
        <f>IFERROR(VLOOKUP($A42,Race_2024!A:L,11,FALSE),0)</f>
        <v>-137798.95300000001</v>
      </c>
      <c r="H42" s="577">
        <f>IFERROR(VLOOKUP($A42,Race_2024!A:L,12,FALSE),0)</f>
        <v>-129077.808</v>
      </c>
    </row>
    <row r="43" spans="1:12" ht="12.75" customHeight="1" x14ac:dyDescent="0.25">
      <c r="A43" s="532" t="s">
        <v>1059</v>
      </c>
      <c r="B43" s="532"/>
      <c r="C43" s="619" t="s">
        <v>450</v>
      </c>
      <c r="D43" s="566">
        <f>IFERROR(VLOOKUP($A43,Race_2024!A:L,7,FALSE),0)</f>
        <v>0</v>
      </c>
      <c r="E43" s="566">
        <f>IFERROR(VLOOKUP($A43,Race_2024!A:L,9,FALSE),0)</f>
        <v>0</v>
      </c>
      <c r="F43" s="566">
        <f>IFERROR(VLOOKUP($A43,Race_2024!A:L,8,FALSE),0)</f>
        <v>0</v>
      </c>
      <c r="G43" s="566">
        <f>IFERROR(VLOOKUP($A43,Race_2024!A:L,11,FALSE),0)</f>
        <v>0</v>
      </c>
      <c r="H43" s="577">
        <f>IFERROR(VLOOKUP($A43,Race_2024!A:L,12,FALSE),0)</f>
        <v>0</v>
      </c>
    </row>
    <row r="44" spans="1:12" ht="12.75" customHeight="1" x14ac:dyDescent="0.25">
      <c r="A44" s="532" t="s">
        <v>1060</v>
      </c>
      <c r="B44" s="532"/>
      <c r="C44" s="619" t="s">
        <v>453</v>
      </c>
      <c r="D44" s="566">
        <f>IFERROR(VLOOKUP($A44,Race_2024!A:L,7,FALSE),0)</f>
        <v>0</v>
      </c>
      <c r="E44" s="566">
        <f>IFERROR(VLOOKUP($A44,Race_2024!A:L,9,FALSE),0)</f>
        <v>0</v>
      </c>
      <c r="F44" s="566">
        <f>IFERROR(VLOOKUP($A44,Race_2024!A:L,8,FALSE),0)</f>
        <v>0</v>
      </c>
      <c r="G44" s="566">
        <f>IFERROR(VLOOKUP($A44,Race_2024!A:L,11,FALSE),0)</f>
        <v>0</v>
      </c>
      <c r="H44" s="577">
        <f>IFERROR(VLOOKUP($A44,Race_2024!A:L,12,FALSE),0)</f>
        <v>-668799.99600000004</v>
      </c>
    </row>
    <row r="45" spans="1:12" ht="12.75" customHeight="1" x14ac:dyDescent="0.25">
      <c r="A45" s="532" t="s">
        <v>1061</v>
      </c>
      <c r="B45" s="532"/>
      <c r="C45" s="619" t="s">
        <v>455</v>
      </c>
      <c r="D45" s="566">
        <f>IFERROR(VLOOKUP($A45,Race_2024!A:L,7,FALSE),0)</f>
        <v>-80138.327000000005</v>
      </c>
      <c r="E45" s="566">
        <f>IFERROR(VLOOKUP($A45,Race_2024!A:L,9,FALSE),0)</f>
        <v>-153857.92800000001</v>
      </c>
      <c r="F45" s="566">
        <f>IFERROR(VLOOKUP($A45,Race_2024!A:L,8,FALSE),0)</f>
        <v>-65409.283000000003</v>
      </c>
      <c r="G45" s="566">
        <f>IFERROR(VLOOKUP($A45,Race_2024!A:L,11,FALSE),0)</f>
        <v>-124876.879</v>
      </c>
      <c r="H45" s="577">
        <f>IFERROR(VLOOKUP($A45,Race_2024!A:L,12,FALSE),0)</f>
        <v>-114872.844</v>
      </c>
    </row>
    <row r="46" spans="1:12" ht="12.75" customHeight="1" x14ac:dyDescent="0.25">
      <c r="A46" s="532"/>
      <c r="B46" s="532"/>
      <c r="C46" s="820" t="s">
        <v>457</v>
      </c>
      <c r="D46" s="812">
        <f>SUM(D41:D45)</f>
        <v>-321393.864</v>
      </c>
      <c r="E46" s="812">
        <f>SUM(E41:E45)</f>
        <v>-576016.39299999992</v>
      </c>
      <c r="F46" s="812">
        <f>SUM(F41:F45)</f>
        <v>-287898.62800000003</v>
      </c>
      <c r="G46" s="812">
        <f>SUM(G41:G45)</f>
        <v>-703788.54399999999</v>
      </c>
      <c r="H46" s="821">
        <f>SUM(H41:H45)</f>
        <v>-1340645.088</v>
      </c>
    </row>
    <row r="48" spans="1:12" ht="12.75" customHeight="1" x14ac:dyDescent="0.25">
      <c r="A48" s="827"/>
      <c r="B48" s="827"/>
      <c r="C48" s="616" t="s">
        <v>1062</v>
      </c>
      <c r="D48" s="818"/>
      <c r="E48" s="818"/>
      <c r="F48" s="818"/>
      <c r="G48" s="836"/>
      <c r="H48" s="837"/>
      <c r="I48" s="828"/>
      <c r="J48" s="660"/>
      <c r="K48" s="834"/>
      <c r="L48" s="827"/>
    </row>
    <row r="49" spans="1:12" ht="12.75" customHeight="1" x14ac:dyDescent="0.25">
      <c r="A49" s="827"/>
      <c r="B49" s="827"/>
      <c r="C49" s="829" t="s">
        <v>1063</v>
      </c>
      <c r="D49" s="586">
        <f>SUM(D50:D61)</f>
        <v>769542.08100000012</v>
      </c>
      <c r="E49" s="586">
        <f t="shared" ref="E49:H49" si="1">SUM(E50:E61)</f>
        <v>660652.26500000001</v>
      </c>
      <c r="F49" s="586">
        <f t="shared" si="1"/>
        <v>166132.106</v>
      </c>
      <c r="G49" s="586">
        <f t="shared" si="1"/>
        <v>472024.78900000005</v>
      </c>
      <c r="H49" s="585">
        <f t="shared" si="1"/>
        <v>668314.88500000001</v>
      </c>
      <c r="I49" s="828"/>
      <c r="J49" s="660"/>
      <c r="K49" s="834"/>
      <c r="L49" s="828"/>
    </row>
    <row r="50" spans="1:12" ht="12.75" customHeight="1" x14ac:dyDescent="0.25">
      <c r="A50" s="827" t="s">
        <v>1064</v>
      </c>
      <c r="B50" s="827"/>
      <c r="C50" s="830" t="s">
        <v>1065</v>
      </c>
      <c r="D50" s="566">
        <f>IFERROR(VLOOKUP($A50,Race_2024!A:L,7,FALSE),0)</f>
        <v>0</v>
      </c>
      <c r="E50" s="566">
        <f>IFERROR(VLOOKUP($A50,Race_2024!A:L,9,FALSE),0)</f>
        <v>0</v>
      </c>
      <c r="F50" s="566">
        <f>IFERROR(VLOOKUP($A50,Race_2024!A:L,8,FALSE),0)</f>
        <v>0</v>
      </c>
      <c r="G50" s="566">
        <f>IFERROR(VLOOKUP($A50,Race_2024!A:L,11,FALSE),0)</f>
        <v>0</v>
      </c>
      <c r="H50" s="577">
        <f>IFERROR(VLOOKUP($A50,Race_2024!A:L,12,FALSE),0)</f>
        <v>0</v>
      </c>
      <c r="I50" s="831"/>
      <c r="J50" s="660"/>
      <c r="K50" s="834"/>
    </row>
    <row r="51" spans="1:12" ht="12.75" customHeight="1" x14ac:dyDescent="0.25">
      <c r="A51" s="827" t="s">
        <v>1066</v>
      </c>
      <c r="B51" s="827"/>
      <c r="C51" s="830" t="s">
        <v>1067</v>
      </c>
      <c r="D51" s="566">
        <f>IFERROR(VLOOKUP($A51,Race_2024!A:L,7,FALSE),0)</f>
        <v>18665.177</v>
      </c>
      <c r="E51" s="566">
        <f>IFERROR(VLOOKUP($A51,Race_2024!A:L,9,FALSE),0)</f>
        <v>0</v>
      </c>
      <c r="F51" s="566">
        <f>IFERROR(VLOOKUP($A51,Race_2024!A:L,8,FALSE),0)</f>
        <v>324</v>
      </c>
      <c r="G51" s="566">
        <f>IFERROR(VLOOKUP($A51,Race_2024!A:L,11,FALSE),0)</f>
        <v>0</v>
      </c>
      <c r="H51" s="577">
        <f>IFERROR(VLOOKUP($A51,Race_2024!A:L,12,FALSE),0)</f>
        <v>0</v>
      </c>
      <c r="I51" s="831"/>
      <c r="J51" s="660"/>
      <c r="K51" s="834"/>
    </row>
    <row r="52" spans="1:12" ht="12.75" customHeight="1" x14ac:dyDescent="0.25">
      <c r="A52" s="827" t="s">
        <v>1068</v>
      </c>
      <c r="B52" s="827"/>
      <c r="C52" s="830" t="s">
        <v>1069</v>
      </c>
      <c r="D52" s="566">
        <f>IFERROR(VLOOKUP($A52,Race_2024!A:L,7,FALSE),0)</f>
        <v>997.01700000000005</v>
      </c>
      <c r="E52" s="566">
        <f>IFERROR(VLOOKUP($A52,Race_2024!A:L,9,FALSE),0)</f>
        <v>0</v>
      </c>
      <c r="F52" s="566">
        <f>IFERROR(VLOOKUP($A52,Race_2024!A:L,8,FALSE),0)</f>
        <v>432</v>
      </c>
      <c r="G52" s="566">
        <f>IFERROR(VLOOKUP($A52,Race_2024!A:L,11,FALSE),0)</f>
        <v>0</v>
      </c>
      <c r="H52" s="577">
        <f>IFERROR(VLOOKUP($A52,Race_2024!A:L,12,FALSE),0)</f>
        <v>1580.6569999999999</v>
      </c>
      <c r="I52" s="832"/>
      <c r="J52" s="660"/>
      <c r="K52" s="834"/>
    </row>
    <row r="53" spans="1:12" ht="12.75" customHeight="1" x14ac:dyDescent="0.25">
      <c r="A53" s="827" t="s">
        <v>1070</v>
      </c>
      <c r="B53" s="827"/>
      <c r="C53" s="830" t="s">
        <v>1071</v>
      </c>
      <c r="D53" s="566">
        <f>IFERROR(VLOOKUP($A53,Race_2024!A:L,7,FALSE),0)</f>
        <v>0</v>
      </c>
      <c r="E53" s="566">
        <f>IFERROR(VLOOKUP($A53,Race_2024!A:L,9,FALSE),0)</f>
        <v>0</v>
      </c>
      <c r="F53" s="566">
        <f>IFERROR(VLOOKUP($A53,Race_2024!A:L,8,FALSE),0)</f>
        <v>0</v>
      </c>
      <c r="G53" s="566">
        <f>IFERROR(VLOOKUP($A53,Race_2024!A:L,11,FALSE),0)</f>
        <v>0</v>
      </c>
      <c r="H53" s="577">
        <f>IFERROR(VLOOKUP($A53,Race_2024!A:L,12,FALSE),0)</f>
        <v>0</v>
      </c>
      <c r="I53" s="832"/>
      <c r="J53" s="660"/>
      <c r="K53" s="834"/>
    </row>
    <row r="54" spans="1:12" ht="12.75" customHeight="1" x14ac:dyDescent="0.25">
      <c r="A54" s="827" t="s">
        <v>1072</v>
      </c>
      <c r="B54" s="827"/>
      <c r="C54" s="830" t="s">
        <v>1073</v>
      </c>
      <c r="D54" s="566">
        <f>IFERROR(VLOOKUP($A54,Race_2024!A:L,7,FALSE),0)</f>
        <v>7953.0659999999998</v>
      </c>
      <c r="E54" s="566">
        <f>IFERROR(VLOOKUP($A54,Race_2024!A:L,9,FALSE),0)</f>
        <v>225886.96799999999</v>
      </c>
      <c r="F54" s="566">
        <f>IFERROR(VLOOKUP($A54,Race_2024!A:L,8,FALSE),0)</f>
        <v>17221.673999999999</v>
      </c>
      <c r="G54" s="566">
        <f>IFERROR(VLOOKUP($A54,Race_2024!A:L,11,FALSE),0)</f>
        <v>311634.39500000002</v>
      </c>
      <c r="H54" s="577">
        <f>IFERROR(VLOOKUP($A54,Race_2024!A:L,12,FALSE),0)</f>
        <v>212244.81599999999</v>
      </c>
      <c r="I54" s="832"/>
      <c r="J54" s="660"/>
      <c r="K54" s="834"/>
    </row>
    <row r="55" spans="1:12" ht="12.75" customHeight="1" x14ac:dyDescent="0.25">
      <c r="A55" s="827" t="s">
        <v>1074</v>
      </c>
      <c r="B55" s="827"/>
      <c r="C55" s="830" t="s">
        <v>1075</v>
      </c>
      <c r="D55" s="566">
        <f>IFERROR(VLOOKUP($A55,Race_2024!A:L,7,FALSE),0)</f>
        <v>512401.26</v>
      </c>
      <c r="E55" s="566">
        <f>IFERROR(VLOOKUP($A55,Race_2024!A:L,9,FALSE),0)</f>
        <v>354774.23800000001</v>
      </c>
      <c r="F55" s="566">
        <f>IFERROR(VLOOKUP($A55,Race_2024!A:L,8,FALSE),0)</f>
        <v>59000</v>
      </c>
      <c r="G55" s="566">
        <f>IFERROR(VLOOKUP($A55,Race_2024!A:L,11,FALSE),0)</f>
        <v>96551.994000000006</v>
      </c>
      <c r="H55" s="577">
        <f>IFERROR(VLOOKUP($A55,Race_2024!A:L,12,FALSE),0)</f>
        <v>322517.69199999998</v>
      </c>
      <c r="I55" s="833"/>
      <c r="J55" s="660"/>
      <c r="K55" s="834"/>
    </row>
    <row r="56" spans="1:12" ht="12.75" customHeight="1" x14ac:dyDescent="0.25">
      <c r="A56" s="827" t="s">
        <v>1076</v>
      </c>
      <c r="B56" s="827"/>
      <c r="C56" s="830" t="s">
        <v>1077</v>
      </c>
      <c r="D56" s="566">
        <f>IFERROR(VLOOKUP($A56,Race_2024!A:L,7,FALSE),0)</f>
        <v>0</v>
      </c>
      <c r="E56" s="566">
        <f>IFERROR(VLOOKUP($A56,Race_2024!A:L,9,FALSE),0)</f>
        <v>0</v>
      </c>
      <c r="F56" s="566">
        <f>IFERROR(VLOOKUP($A56,Race_2024!A:L,8,FALSE),0)</f>
        <v>0</v>
      </c>
      <c r="G56" s="566">
        <f>IFERROR(VLOOKUP($A56,Race_2024!A:L,11,FALSE),0)</f>
        <v>0</v>
      </c>
      <c r="H56" s="577">
        <f>IFERROR(VLOOKUP($A56,Race_2024!A:L,12,FALSE),0)</f>
        <v>0</v>
      </c>
      <c r="I56" s="833"/>
      <c r="J56" s="660"/>
      <c r="K56" s="834"/>
    </row>
    <row r="57" spans="1:12" ht="12.75" customHeight="1" x14ac:dyDescent="0.2">
      <c r="A57" s="439" t="s">
        <v>1078</v>
      </c>
      <c r="C57" s="830" t="s">
        <v>1079</v>
      </c>
      <c r="D57" s="566">
        <f>IFERROR(VLOOKUP($A57,Race_2024!A:L,7,FALSE),0)</f>
        <v>0</v>
      </c>
      <c r="E57" s="566">
        <f>IFERROR(VLOOKUP($A57,Race_2024!A:L,9,FALSE),0)</f>
        <v>0</v>
      </c>
      <c r="F57" s="566">
        <f>IFERROR(VLOOKUP($A57,Race_2024!A:L,8,FALSE),0)</f>
        <v>0</v>
      </c>
      <c r="G57" s="566">
        <f>IFERROR(VLOOKUP($A57,Race_2024!A:L,11,FALSE),0)</f>
        <v>0</v>
      </c>
      <c r="H57" s="577">
        <f>IFERROR(VLOOKUP($A57,Race_2024!A:L,12,FALSE),0)</f>
        <v>0</v>
      </c>
    </row>
    <row r="58" spans="1:12" ht="12.75" customHeight="1" x14ac:dyDescent="0.2">
      <c r="A58" s="439" t="s">
        <v>1080</v>
      </c>
      <c r="C58" s="830" t="s">
        <v>1081</v>
      </c>
      <c r="D58" s="566">
        <f>IFERROR(VLOOKUP($A58,Race_2024!A:L,7,FALSE),0)</f>
        <v>24124.691999999999</v>
      </c>
      <c r="E58" s="566">
        <f>IFERROR(VLOOKUP($A58,Race_2024!A:L,9,FALSE),0)</f>
        <v>43975.159</v>
      </c>
      <c r="F58" s="566">
        <f>IFERROR(VLOOKUP($A58,Race_2024!A:L,8,FALSE),0)</f>
        <v>14465.304</v>
      </c>
      <c r="G58" s="566">
        <f>IFERROR(VLOOKUP($A58,Race_2024!A:L,11,FALSE),0)</f>
        <v>4838.3999999999996</v>
      </c>
      <c r="H58" s="577">
        <f>IFERROR(VLOOKUP($A58,Race_2024!A:L,12,FALSE),0)</f>
        <v>9659.82</v>
      </c>
    </row>
    <row r="59" spans="1:12" ht="12.75" customHeight="1" x14ac:dyDescent="0.2">
      <c r="A59" s="439" t="s">
        <v>1082</v>
      </c>
      <c r="C59" s="830" t="s">
        <v>1083</v>
      </c>
      <c r="D59" s="566">
        <f>IFERROR(VLOOKUP($A59,Race_2024!A:L,7,FALSE),0)</f>
        <v>0</v>
      </c>
      <c r="E59" s="566">
        <f>IFERROR(VLOOKUP($A59,Race_2024!A:L,9,FALSE),0)</f>
        <v>0</v>
      </c>
      <c r="F59" s="566">
        <f>IFERROR(VLOOKUP($A59,Race_2024!A:L,8,FALSE),0)</f>
        <v>0</v>
      </c>
      <c r="G59" s="566">
        <f>IFERROR(VLOOKUP($A59,Race_2024!A:L,11,FALSE),0)</f>
        <v>0</v>
      </c>
      <c r="H59" s="577">
        <f>IFERROR(VLOOKUP($A59,Race_2024!A:L,12,FALSE),0)</f>
        <v>0</v>
      </c>
    </row>
    <row r="60" spans="1:12" ht="12.75" customHeight="1" x14ac:dyDescent="0.2">
      <c r="A60" s="439" t="s">
        <v>1084</v>
      </c>
      <c r="C60" s="830" t="s">
        <v>1085</v>
      </c>
      <c r="D60" s="566">
        <f>IFERROR(VLOOKUP($A60,Race_2024!A:L,7,FALSE),0)</f>
        <v>137949.06200000001</v>
      </c>
      <c r="E60" s="566">
        <f>IFERROR(VLOOKUP($A60,Race_2024!A:L,9,FALSE),0)</f>
        <v>0</v>
      </c>
      <c r="F60" s="566">
        <f>IFERROR(VLOOKUP($A60,Race_2024!A:L,8,FALSE),0)</f>
        <v>74689.127999999997</v>
      </c>
      <c r="G60" s="566">
        <f>IFERROR(VLOOKUP($A60,Race_2024!A:L,11,FALSE),0)</f>
        <v>0</v>
      </c>
      <c r="H60" s="577">
        <f>IFERROR(VLOOKUP($A60,Race_2024!A:L,12,FALSE),0)</f>
        <v>0</v>
      </c>
    </row>
    <row r="61" spans="1:12" ht="12.75" customHeight="1" x14ac:dyDescent="0.2">
      <c r="A61" s="439" t="s">
        <v>1086</v>
      </c>
      <c r="C61" s="838" t="s">
        <v>1087</v>
      </c>
      <c r="D61" s="573">
        <f>IFERROR(VLOOKUP($A61,Race_2024!A:L,7,FALSE),0)</f>
        <v>67451.807000000001</v>
      </c>
      <c r="E61" s="573">
        <f>IFERROR(VLOOKUP($A61,Race_2024!A:L,9,FALSE),0)</f>
        <v>36015.9</v>
      </c>
      <c r="F61" s="573">
        <f>IFERROR(VLOOKUP($A61,Race_2024!A:L,8,FALSE),0)</f>
        <v>0</v>
      </c>
      <c r="G61" s="573">
        <f>IFERROR(VLOOKUP($A61,Race_2024!A:L,11,FALSE),0)</f>
        <v>59000</v>
      </c>
      <c r="H61" s="572">
        <f>IFERROR(VLOOKUP($A61,Race_2024!A:L,12,FALSE),0)</f>
        <v>122311.9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pane="topRight" activeCell="D14" sqref="D14"/>
      <selection pane="bottomLeft" activeCell="D14" sqref="D14"/>
      <selection pane="bottomRight" activeCell="F153" sqref="F153"/>
    </sheetView>
  </sheetViews>
  <sheetFormatPr defaultColWidth="9.28515625" defaultRowHeight="12.75" customHeight="1" outlineLevelCol="1" x14ac:dyDescent="0.2"/>
  <cols>
    <col min="1" max="1" width="18.28515625" style="439" customWidth="1" outlineLevel="1"/>
    <col min="2" max="2" width="24.5703125" style="439" customWidth="1" outlineLevel="1"/>
    <col min="3" max="3" width="60.5703125" style="439" bestFit="1" customWidth="1"/>
    <col min="4" max="15" width="20" style="439" customWidth="1"/>
    <col min="16" max="16" width="10.28515625" style="439" customWidth="1"/>
    <col min="17" max="17" width="21.7109375" style="439" customWidth="1"/>
    <col min="18" max="18" width="9.28515625" style="439" customWidth="1"/>
    <col min="19" max="19" width="12.7109375" style="439" bestFit="1" customWidth="1"/>
    <col min="20" max="16384" width="9.28515625" style="439"/>
  </cols>
  <sheetData>
    <row r="1" spans="1:19" ht="19.899999999999999" customHeight="1" x14ac:dyDescent="0.25">
      <c r="C1" s="60" t="str">
        <f>+'0. Instructions'!$A$1</f>
        <v>Budget 2024</v>
      </c>
      <c r="D1" s="565"/>
      <c r="E1" s="565"/>
      <c r="F1" s="565"/>
      <c r="G1" s="565"/>
      <c r="H1" s="565"/>
      <c r="I1" s="565"/>
      <c r="J1" s="565"/>
      <c r="K1" s="565"/>
      <c r="L1" s="565"/>
      <c r="M1" s="565"/>
      <c r="N1" s="565"/>
      <c r="O1" s="565"/>
    </row>
    <row r="2" spans="1:19" ht="19.899999999999999" customHeight="1" thickBot="1" x14ac:dyDescent="0.3">
      <c r="C2" s="55" t="s">
        <v>732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 x14ac:dyDescent="0.25">
      <c r="A3" s="534"/>
      <c r="B3" s="534"/>
      <c r="C3" s="532"/>
      <c r="D3" s="532"/>
      <c r="E3" s="532"/>
      <c r="F3" s="532"/>
      <c r="G3" s="532"/>
      <c r="H3" s="532"/>
      <c r="I3" s="532"/>
      <c r="J3" s="532"/>
      <c r="K3" s="532"/>
      <c r="L3" s="532"/>
      <c r="M3" s="532"/>
      <c r="N3" s="532"/>
      <c r="O3" s="532"/>
      <c r="P3" s="532"/>
      <c r="Q3" s="532"/>
      <c r="R3" s="532"/>
    </row>
    <row r="4" spans="1:19" ht="15" x14ac:dyDescent="0.25">
      <c r="A4" s="534"/>
      <c r="B4" s="534"/>
      <c r="C4" s="532"/>
      <c r="D4" s="532"/>
      <c r="E4" s="532"/>
      <c r="F4" s="532"/>
      <c r="G4" s="532"/>
      <c r="H4" s="532"/>
      <c r="I4" s="532"/>
      <c r="J4" s="532"/>
      <c r="K4" s="532"/>
      <c r="L4" s="532"/>
      <c r="M4" s="532"/>
      <c r="N4" s="532"/>
      <c r="O4" s="532"/>
      <c r="P4" s="532"/>
      <c r="Q4" s="532"/>
      <c r="R4" s="532"/>
    </row>
    <row r="5" spans="1:19" ht="15" x14ac:dyDescent="0.25">
      <c r="A5" s="534"/>
      <c r="B5" s="534"/>
      <c r="C5" s="532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33"/>
      <c r="Q5" s="563"/>
      <c r="R5" s="533"/>
    </row>
    <row r="6" spans="1:19" ht="30" x14ac:dyDescent="0.25">
      <c r="A6" s="534"/>
      <c r="B6" s="534"/>
      <c r="C6" s="562"/>
      <c r="D6" s="532"/>
      <c r="E6" s="532"/>
      <c r="F6" s="532"/>
      <c r="G6" s="532"/>
      <c r="H6" s="532"/>
      <c r="I6" s="532"/>
      <c r="J6" s="532"/>
      <c r="K6" s="532"/>
      <c r="L6" s="532"/>
      <c r="M6" s="532"/>
      <c r="N6" s="532"/>
      <c r="O6" s="532"/>
      <c r="P6" s="562"/>
      <c r="Q6" s="561" t="s">
        <v>1088</v>
      </c>
      <c r="R6" s="542"/>
    </row>
    <row r="7" spans="1:19" ht="28.9" customHeight="1" x14ac:dyDescent="0.25">
      <c r="A7" s="534"/>
      <c r="B7" s="534"/>
      <c r="C7" s="559" t="s">
        <v>740</v>
      </c>
      <c r="D7" s="559" t="s">
        <v>1089</v>
      </c>
      <c r="E7" s="559" t="s">
        <v>1090</v>
      </c>
      <c r="F7" s="559" t="s">
        <v>1091</v>
      </c>
      <c r="G7" s="559" t="s">
        <v>1092</v>
      </c>
      <c r="H7" s="559" t="s">
        <v>1093</v>
      </c>
      <c r="I7" s="559" t="s">
        <v>1094</v>
      </c>
      <c r="J7" s="559" t="s">
        <v>1095</v>
      </c>
      <c r="K7" s="559" t="s">
        <v>1096</v>
      </c>
      <c r="L7" s="559" t="s">
        <v>1097</v>
      </c>
      <c r="M7" s="559" t="s">
        <v>1098</v>
      </c>
      <c r="N7" s="559" t="s">
        <v>1099</v>
      </c>
      <c r="O7" s="559" t="s">
        <v>1100</v>
      </c>
      <c r="P7" s="560"/>
      <c r="Q7" s="559" t="s">
        <v>1101</v>
      </c>
      <c r="R7" s="542"/>
      <c r="S7" s="439" t="s">
        <v>1102</v>
      </c>
    </row>
    <row r="8" spans="1:19" ht="15" x14ac:dyDescent="0.25">
      <c r="A8" s="534" t="s">
        <v>743</v>
      </c>
      <c r="B8" s="534" t="str">
        <f>IFERROR(VLOOKUP(A8,Race_2024_Seasonal!A:C,3,FALSE), VLOOKUP(A8,Race_2024_Seasonal!A:C,3,FALSE))</f>
        <v>Sales</v>
      </c>
      <c r="C8" s="558" t="s">
        <v>195</v>
      </c>
      <c r="D8" s="652">
        <f>IFERROR(VLOOKUP($A8,Race_2024_Seasonal!A:X,7,FALSE),0)</f>
        <v>1739629.5279999999</v>
      </c>
      <c r="E8" s="652">
        <f>IFERROR(VLOOKUP($A8,Race_2024_Seasonal!A:X,8,FALSE),0)</f>
        <v>1739642.172</v>
      </c>
      <c r="F8" s="652">
        <f>IFERROR(VLOOKUP($A8,Race_2024_Seasonal!A:X,9,FALSE),0)</f>
        <v>1695770.175</v>
      </c>
      <c r="G8" s="652">
        <f>IFERROR(VLOOKUP($A8,Race_2024_Seasonal!A:X,10,FALSE),0)</f>
        <v>1739642.172</v>
      </c>
      <c r="H8" s="652">
        <f>IFERROR(VLOOKUP($A8,Race_2024_Seasonal!A:X,11,FALSE),0)</f>
        <v>1783555.132</v>
      </c>
      <c r="I8" s="652">
        <f>IFERROR(VLOOKUP($A8,Race_2024_Seasonal!A:X,12,FALSE),0)</f>
        <v>1664422.378</v>
      </c>
      <c r="J8" s="652">
        <f>IFERROR(VLOOKUP($A8,Race_2024_Seasonal!A:X,13,FALSE),0)</f>
        <v>1798104.8529999999</v>
      </c>
      <c r="K8" s="652">
        <f>IFERROR(VLOOKUP($A8,Race_2024_Seasonal!A:X,14,FALSE),0)</f>
        <v>1753455.7420000001</v>
      </c>
      <c r="L8" s="652">
        <f>IFERROR(VLOOKUP($A8,Race_2024_Seasonal!A:X,15,FALSE),0)</f>
        <v>1575219.5379999999</v>
      </c>
      <c r="M8" s="652">
        <f>IFERROR(VLOOKUP($A8,Race_2024_Seasonal!A:X,16,FALSE),0)</f>
        <v>1798018.027</v>
      </c>
      <c r="N8" s="652">
        <f>IFERROR(VLOOKUP($A8,Race_2024_Seasonal!A:X,17,FALSE),0)</f>
        <v>1753426.3359999999</v>
      </c>
      <c r="O8" s="652">
        <f>IFERROR(VLOOKUP($A8,Race_2024_Seasonal!A:X,18,FALSE),0)</f>
        <v>1530643.757</v>
      </c>
      <c r="P8" s="542"/>
      <c r="Q8" s="652">
        <f>SUM(D8:O8)</f>
        <v>20571529.809999999</v>
      </c>
      <c r="R8" s="542"/>
      <c r="S8" s="659">
        <f>Q8-'P&amp;L'!I8</f>
        <v>0</v>
      </c>
    </row>
    <row r="9" spans="1:19" ht="15" x14ac:dyDescent="0.25">
      <c r="A9" s="534" t="s">
        <v>744</v>
      </c>
      <c r="B9" s="534" t="str">
        <f>IFERROR(VLOOKUP(A9,Race_2024_Seasonal!A:C,3,FALSE), VLOOKUP(A9,Race_2024_Seasonal!A:C,3,FALSE))</f>
        <v>Net sales</v>
      </c>
      <c r="C9" s="554" t="s">
        <v>745</v>
      </c>
      <c r="D9" s="653">
        <f>IFERROR(VLOOKUP($A9,Race_2024_Seasonal!A:X,7,FALSE),0)</f>
        <v>1739629.5279999999</v>
      </c>
      <c r="E9" s="653">
        <f>IFERROR(VLOOKUP($A9,Race_2024_Seasonal!A:X,8,FALSE),0)</f>
        <v>1739642.172</v>
      </c>
      <c r="F9" s="653">
        <f>IFERROR(VLOOKUP($A9,Race_2024_Seasonal!A:X,9,FALSE),0)</f>
        <v>1695770.175</v>
      </c>
      <c r="G9" s="653">
        <f>IFERROR(VLOOKUP($A9,Race_2024_Seasonal!A:X,10,FALSE),0)</f>
        <v>1739642.172</v>
      </c>
      <c r="H9" s="653">
        <f>IFERROR(VLOOKUP($A9,Race_2024_Seasonal!A:X,11,FALSE),0)</f>
        <v>1783555.132</v>
      </c>
      <c r="I9" s="653">
        <f>IFERROR(VLOOKUP($A9,Race_2024_Seasonal!A:X,12,FALSE),0)</f>
        <v>1664422.378</v>
      </c>
      <c r="J9" s="653">
        <f>IFERROR(VLOOKUP($A9,Race_2024_Seasonal!A:X,13,FALSE),0)</f>
        <v>1798104.8529999999</v>
      </c>
      <c r="K9" s="653">
        <f>IFERROR(VLOOKUP($A9,Race_2024_Seasonal!A:X,14,FALSE),0)</f>
        <v>1753455.7420000001</v>
      </c>
      <c r="L9" s="653">
        <f>IFERROR(VLOOKUP($A9,Race_2024_Seasonal!A:X,15,FALSE),0)</f>
        <v>1575219.5379999999</v>
      </c>
      <c r="M9" s="653">
        <f>IFERROR(VLOOKUP($A9,Race_2024_Seasonal!A:X,16,FALSE),0)</f>
        <v>1798018.027</v>
      </c>
      <c r="N9" s="653">
        <f>IFERROR(VLOOKUP($A9,Race_2024_Seasonal!A:X,17,FALSE),0)</f>
        <v>1753426.3359999999</v>
      </c>
      <c r="O9" s="653">
        <f>IFERROR(VLOOKUP($A9,Race_2024_Seasonal!A:X,18,FALSE),0)</f>
        <v>1530643.757</v>
      </c>
      <c r="P9" s="542"/>
      <c r="Q9" s="653">
        <f t="shared" ref="Q9:Q71" si="0">SUM(D9:O9)</f>
        <v>20571529.809999999</v>
      </c>
      <c r="R9" s="542"/>
      <c r="S9" s="659">
        <f>Q9-'P&amp;L'!I9</f>
        <v>0</v>
      </c>
    </row>
    <row r="10" spans="1:19" ht="15" x14ac:dyDescent="0.25">
      <c r="A10" s="534" t="s">
        <v>746</v>
      </c>
      <c r="B10" s="534" t="e">
        <f>IFERROR(VLOOKUP(A10,Race_2024_Seasonal!A:C,3,FALSE), VLOOKUP(A10,Race_2024_Seasonal!A:C,3,FALSE))</f>
        <v>#N/A</v>
      </c>
      <c r="C10" s="541" t="s">
        <v>747</v>
      </c>
      <c r="D10" s="610">
        <f>IFERROR(VLOOKUP($A10,Race_2024_Seasonal!A:X,7,FALSE),0)</f>
        <v>0</v>
      </c>
      <c r="E10" s="610">
        <f>IFERROR(VLOOKUP($A10,Race_2024_Seasonal!A:X,8,FALSE),0)</f>
        <v>0</v>
      </c>
      <c r="F10" s="610">
        <f>IFERROR(VLOOKUP($A10,Race_2024_Seasonal!A:X,9,FALSE),0)</f>
        <v>0</v>
      </c>
      <c r="G10" s="610">
        <f>IFERROR(VLOOKUP($A10,Race_2024_Seasonal!A:X,10,FALSE),0)</f>
        <v>0</v>
      </c>
      <c r="H10" s="610">
        <f>IFERROR(VLOOKUP($A10,Race_2024_Seasonal!A:X,11,FALSE),0)</f>
        <v>0</v>
      </c>
      <c r="I10" s="610">
        <f>IFERROR(VLOOKUP($A10,Race_2024_Seasonal!A:X,12,FALSE),0)</f>
        <v>0</v>
      </c>
      <c r="J10" s="610">
        <f>IFERROR(VLOOKUP($A10,Race_2024_Seasonal!A:X,13,FALSE),0)</f>
        <v>0</v>
      </c>
      <c r="K10" s="610">
        <f>IFERROR(VLOOKUP($A10,Race_2024_Seasonal!A:X,14,FALSE),0)</f>
        <v>0</v>
      </c>
      <c r="L10" s="610">
        <f>IFERROR(VLOOKUP($A10,Race_2024_Seasonal!A:X,15,FALSE),0)</f>
        <v>0</v>
      </c>
      <c r="M10" s="610">
        <f>IFERROR(VLOOKUP($A10,Race_2024_Seasonal!A:X,16,FALSE),0)</f>
        <v>0</v>
      </c>
      <c r="N10" s="610">
        <f>IFERROR(VLOOKUP($A10,Race_2024_Seasonal!A:X,17,FALSE),0)</f>
        <v>0</v>
      </c>
      <c r="O10" s="610">
        <f>IFERROR(VLOOKUP($A10,Race_2024_Seasonal!A:X,18,FALSE),0)</f>
        <v>0</v>
      </c>
      <c r="P10" s="542"/>
      <c r="Q10" s="610">
        <f t="shared" si="0"/>
        <v>0</v>
      </c>
      <c r="R10" s="542"/>
      <c r="S10" s="659">
        <f>Q10-'P&amp;L'!I10</f>
        <v>0</v>
      </c>
    </row>
    <row r="11" spans="1:19" ht="15" x14ac:dyDescent="0.25">
      <c r="A11" s="534" t="s">
        <v>748</v>
      </c>
      <c r="B11" s="534" t="e">
        <f>IFERROR(VLOOKUP(A11,Race_2024_Seasonal!A:C,3,FALSE), VLOOKUP(A11,Race_2024_Seasonal!A:C,3,FALSE))</f>
        <v>#N/A</v>
      </c>
      <c r="C11" s="541" t="s">
        <v>749</v>
      </c>
      <c r="D11" s="610">
        <f>IFERROR(VLOOKUP($A11,Race_2024_Seasonal!A:X,7,FALSE),0)</f>
        <v>0</v>
      </c>
      <c r="E11" s="610">
        <f>IFERROR(VLOOKUP($A11,Race_2024_Seasonal!A:X,8,FALSE),0)</f>
        <v>0</v>
      </c>
      <c r="F11" s="610">
        <f>IFERROR(VLOOKUP($A11,Race_2024_Seasonal!A:X,9,FALSE),0)</f>
        <v>0</v>
      </c>
      <c r="G11" s="610">
        <f>IFERROR(VLOOKUP($A11,Race_2024_Seasonal!A:X,10,FALSE),0)</f>
        <v>0</v>
      </c>
      <c r="H11" s="610">
        <f>IFERROR(VLOOKUP($A11,Race_2024_Seasonal!A:X,11,FALSE),0)</f>
        <v>0</v>
      </c>
      <c r="I11" s="610">
        <f>IFERROR(VLOOKUP($A11,Race_2024_Seasonal!A:X,12,FALSE),0)</f>
        <v>0</v>
      </c>
      <c r="J11" s="610">
        <f>IFERROR(VLOOKUP($A11,Race_2024_Seasonal!A:X,13,FALSE),0)</f>
        <v>0</v>
      </c>
      <c r="K11" s="610">
        <f>IFERROR(VLOOKUP($A11,Race_2024_Seasonal!A:X,14,FALSE),0)</f>
        <v>0</v>
      </c>
      <c r="L11" s="610">
        <f>IFERROR(VLOOKUP($A11,Race_2024_Seasonal!A:X,15,FALSE),0)</f>
        <v>0</v>
      </c>
      <c r="M11" s="610">
        <f>IFERROR(VLOOKUP($A11,Race_2024_Seasonal!A:X,16,FALSE),0)</f>
        <v>0</v>
      </c>
      <c r="N11" s="610">
        <f>IFERROR(VLOOKUP($A11,Race_2024_Seasonal!A:X,17,FALSE),0)</f>
        <v>0</v>
      </c>
      <c r="O11" s="610">
        <f>IFERROR(VLOOKUP($A11,Race_2024_Seasonal!A:X,18,FALSE),0)</f>
        <v>0</v>
      </c>
      <c r="P11" s="542"/>
      <c r="Q11" s="610">
        <f t="shared" si="0"/>
        <v>0</v>
      </c>
      <c r="R11" s="542"/>
      <c r="S11" s="659">
        <f>Q11-'P&amp;L'!I11</f>
        <v>0</v>
      </c>
    </row>
    <row r="12" spans="1:19" ht="15" x14ac:dyDescent="0.25">
      <c r="A12" s="534" t="s">
        <v>750</v>
      </c>
      <c r="B12" s="534" t="e">
        <f>IFERROR(VLOOKUP(A12,Race_2024_Seasonal!A:C,3,FALSE), VLOOKUP(A12,Race_2024_Seasonal!A:C,3,FALSE))</f>
        <v>#N/A</v>
      </c>
      <c r="C12" s="541" t="s">
        <v>751</v>
      </c>
      <c r="D12" s="610">
        <f>IFERROR(VLOOKUP($A12,Race_2024_Seasonal!A:X,7,FALSE),0)</f>
        <v>0</v>
      </c>
      <c r="E12" s="610">
        <f>IFERROR(VLOOKUP($A12,Race_2024_Seasonal!A:X,8,FALSE),0)</f>
        <v>0</v>
      </c>
      <c r="F12" s="610">
        <f>IFERROR(VLOOKUP($A12,Race_2024_Seasonal!A:X,9,FALSE),0)</f>
        <v>0</v>
      </c>
      <c r="G12" s="610">
        <f>IFERROR(VLOOKUP($A12,Race_2024_Seasonal!A:X,10,FALSE),0)</f>
        <v>0</v>
      </c>
      <c r="H12" s="610">
        <f>IFERROR(VLOOKUP($A12,Race_2024_Seasonal!A:X,11,FALSE),0)</f>
        <v>0</v>
      </c>
      <c r="I12" s="610">
        <f>IFERROR(VLOOKUP($A12,Race_2024_Seasonal!A:X,12,FALSE),0)</f>
        <v>0</v>
      </c>
      <c r="J12" s="610">
        <f>IFERROR(VLOOKUP($A12,Race_2024_Seasonal!A:X,13,FALSE),0)</f>
        <v>0</v>
      </c>
      <c r="K12" s="610">
        <f>IFERROR(VLOOKUP($A12,Race_2024_Seasonal!A:X,14,FALSE),0)</f>
        <v>0</v>
      </c>
      <c r="L12" s="610">
        <f>IFERROR(VLOOKUP($A12,Race_2024_Seasonal!A:X,15,FALSE),0)</f>
        <v>0</v>
      </c>
      <c r="M12" s="610">
        <f>IFERROR(VLOOKUP($A12,Race_2024_Seasonal!A:X,16,FALSE),0)</f>
        <v>0</v>
      </c>
      <c r="N12" s="610">
        <f>IFERROR(VLOOKUP($A12,Race_2024_Seasonal!A:X,17,FALSE),0)</f>
        <v>0</v>
      </c>
      <c r="O12" s="610">
        <f>IFERROR(VLOOKUP($A12,Race_2024_Seasonal!A:X,18,FALSE),0)</f>
        <v>0</v>
      </c>
      <c r="P12" s="542"/>
      <c r="Q12" s="610">
        <f t="shared" si="0"/>
        <v>0</v>
      </c>
      <c r="R12" s="542"/>
      <c r="S12" s="659">
        <f>Q12-'P&amp;L'!I12</f>
        <v>0</v>
      </c>
    </row>
    <row r="13" spans="1:19" ht="15" x14ac:dyDescent="0.25">
      <c r="A13" s="534" t="s">
        <v>752</v>
      </c>
      <c r="B13" s="534" t="str">
        <f>IFERROR(VLOOKUP(A13,Race_2024_Seasonal!A:C,3,FALSE), VLOOKUP(A13,Race_2024_Seasonal!A:C,3,FALSE))</f>
        <v>Net sales external</v>
      </c>
      <c r="C13" s="541" t="s">
        <v>753</v>
      </c>
      <c r="D13" s="610">
        <f>IFERROR(VLOOKUP($A13,Race_2024_Seasonal!A:X,7,FALSE),0)</f>
        <v>1739629.5279999999</v>
      </c>
      <c r="E13" s="610">
        <f>IFERROR(VLOOKUP($A13,Race_2024_Seasonal!A:X,8,FALSE),0)</f>
        <v>1739642.172</v>
      </c>
      <c r="F13" s="610">
        <f>IFERROR(VLOOKUP($A13,Race_2024_Seasonal!A:X,9,FALSE),0)</f>
        <v>1695770.175</v>
      </c>
      <c r="G13" s="610">
        <f>IFERROR(VLOOKUP($A13,Race_2024_Seasonal!A:X,10,FALSE),0)</f>
        <v>1739642.172</v>
      </c>
      <c r="H13" s="610">
        <f>IFERROR(VLOOKUP($A13,Race_2024_Seasonal!A:X,11,FALSE),0)</f>
        <v>1783555.132</v>
      </c>
      <c r="I13" s="610">
        <f>IFERROR(VLOOKUP($A13,Race_2024_Seasonal!A:X,12,FALSE),0)</f>
        <v>1664422.378</v>
      </c>
      <c r="J13" s="610">
        <f>IFERROR(VLOOKUP($A13,Race_2024_Seasonal!A:X,13,FALSE),0)</f>
        <v>1798104.8529999999</v>
      </c>
      <c r="K13" s="610">
        <f>IFERROR(VLOOKUP($A13,Race_2024_Seasonal!A:X,14,FALSE),0)</f>
        <v>1753455.7420000001</v>
      </c>
      <c r="L13" s="610">
        <f>IFERROR(VLOOKUP($A13,Race_2024_Seasonal!A:X,15,FALSE),0)</f>
        <v>1575219.5379999999</v>
      </c>
      <c r="M13" s="610">
        <f>IFERROR(VLOOKUP($A13,Race_2024_Seasonal!A:X,16,FALSE),0)</f>
        <v>1798018.027</v>
      </c>
      <c r="N13" s="610">
        <f>IFERROR(VLOOKUP($A13,Race_2024_Seasonal!A:X,17,FALSE),0)</f>
        <v>1753426.3359999999</v>
      </c>
      <c r="O13" s="610">
        <f>IFERROR(VLOOKUP($A13,Race_2024_Seasonal!A:X,18,FALSE),0)</f>
        <v>1530643.757</v>
      </c>
      <c r="P13" s="542"/>
      <c r="Q13" s="610">
        <f t="shared" si="0"/>
        <v>20571529.809999999</v>
      </c>
      <c r="R13" s="542"/>
      <c r="S13" s="659">
        <f>Q13-'P&amp;L'!I13</f>
        <v>0</v>
      </c>
    </row>
    <row r="14" spans="1:19" ht="15" x14ac:dyDescent="0.25">
      <c r="A14" s="534" t="s">
        <v>754</v>
      </c>
      <c r="B14" s="534" t="e">
        <f>IFERROR(VLOOKUP(A14,Race_2024_Seasonal!A:C,3,FALSE), VLOOKUP(A14,Race_2024_Seasonal!A:C,3,FALSE))</f>
        <v>#N/A</v>
      </c>
      <c r="C14" s="554" t="s">
        <v>755</v>
      </c>
      <c r="D14" s="653">
        <f>IFERROR(VLOOKUP($A14,Race_2024_Seasonal!A:X,7,FALSE),0)</f>
        <v>0</v>
      </c>
      <c r="E14" s="653">
        <f>IFERROR(VLOOKUP($A14,Race_2024_Seasonal!A:X,8,FALSE),0)</f>
        <v>0</v>
      </c>
      <c r="F14" s="653">
        <f>IFERROR(VLOOKUP($A14,Race_2024_Seasonal!A:X,9,FALSE),0)</f>
        <v>0</v>
      </c>
      <c r="G14" s="653">
        <f>IFERROR(VLOOKUP($A14,Race_2024_Seasonal!A:X,10,FALSE),0)</f>
        <v>0</v>
      </c>
      <c r="H14" s="653">
        <f>IFERROR(VLOOKUP($A14,Race_2024_Seasonal!A:X,11,FALSE),0)</f>
        <v>0</v>
      </c>
      <c r="I14" s="653">
        <f>IFERROR(VLOOKUP($A14,Race_2024_Seasonal!A:X,12,FALSE),0)</f>
        <v>0</v>
      </c>
      <c r="J14" s="653">
        <f>IFERROR(VLOOKUP($A14,Race_2024_Seasonal!A:X,13,FALSE),0)</f>
        <v>0</v>
      </c>
      <c r="K14" s="653">
        <f>IFERROR(VLOOKUP($A14,Race_2024_Seasonal!A:X,14,FALSE),0)</f>
        <v>0</v>
      </c>
      <c r="L14" s="653">
        <f>IFERROR(VLOOKUP($A14,Race_2024_Seasonal!A:X,15,FALSE),0)</f>
        <v>0</v>
      </c>
      <c r="M14" s="653">
        <f>IFERROR(VLOOKUP($A14,Race_2024_Seasonal!A:X,16,FALSE),0)</f>
        <v>0</v>
      </c>
      <c r="N14" s="653">
        <f>IFERROR(VLOOKUP($A14,Race_2024_Seasonal!A:X,17,FALSE),0)</f>
        <v>0</v>
      </c>
      <c r="O14" s="653">
        <f>IFERROR(VLOOKUP($A14,Race_2024_Seasonal!A:X,18,FALSE),0)</f>
        <v>0</v>
      </c>
      <c r="P14" s="542"/>
      <c r="Q14" s="653">
        <f t="shared" si="0"/>
        <v>0</v>
      </c>
      <c r="R14" s="542"/>
      <c r="S14" s="659">
        <f>Q14-'P&amp;L'!I14</f>
        <v>0</v>
      </c>
    </row>
    <row r="15" spans="1:19" ht="15" x14ac:dyDescent="0.25">
      <c r="A15" s="534" t="s">
        <v>756</v>
      </c>
      <c r="B15" s="534" t="e">
        <f>IFERROR(VLOOKUP(A15,Race_2024_Seasonal!A:C,3,FALSE), VLOOKUP(A15,Race_2024_Seasonal!A:C,3,FALSE))</f>
        <v>#N/A</v>
      </c>
      <c r="C15" s="541" t="s">
        <v>757</v>
      </c>
      <c r="D15" s="610">
        <f>IFERROR(VLOOKUP($A15,Race_2024_Seasonal!A:X,7,FALSE),0)</f>
        <v>0</v>
      </c>
      <c r="E15" s="610">
        <f>IFERROR(VLOOKUP($A15,Race_2024_Seasonal!A:X,8,FALSE),0)</f>
        <v>0</v>
      </c>
      <c r="F15" s="610">
        <f>IFERROR(VLOOKUP($A15,Race_2024_Seasonal!A:X,9,FALSE),0)</f>
        <v>0</v>
      </c>
      <c r="G15" s="610">
        <f>IFERROR(VLOOKUP($A15,Race_2024_Seasonal!A:X,10,FALSE),0)</f>
        <v>0</v>
      </c>
      <c r="H15" s="610">
        <f>IFERROR(VLOOKUP($A15,Race_2024_Seasonal!A:X,11,FALSE),0)</f>
        <v>0</v>
      </c>
      <c r="I15" s="610">
        <f>IFERROR(VLOOKUP($A15,Race_2024_Seasonal!A:X,12,FALSE),0)</f>
        <v>0</v>
      </c>
      <c r="J15" s="610">
        <f>IFERROR(VLOOKUP($A15,Race_2024_Seasonal!A:X,13,FALSE),0)</f>
        <v>0</v>
      </c>
      <c r="K15" s="610">
        <f>IFERROR(VLOOKUP($A15,Race_2024_Seasonal!A:X,14,FALSE),0)</f>
        <v>0</v>
      </c>
      <c r="L15" s="610">
        <f>IFERROR(VLOOKUP($A15,Race_2024_Seasonal!A:X,15,FALSE),0)</f>
        <v>0</v>
      </c>
      <c r="M15" s="610">
        <f>IFERROR(VLOOKUP($A15,Race_2024_Seasonal!A:X,16,FALSE),0)</f>
        <v>0</v>
      </c>
      <c r="N15" s="610">
        <f>IFERROR(VLOOKUP($A15,Race_2024_Seasonal!A:X,17,FALSE),0)</f>
        <v>0</v>
      </c>
      <c r="O15" s="610">
        <f>IFERROR(VLOOKUP($A15,Race_2024_Seasonal!A:X,18,FALSE),0)</f>
        <v>0</v>
      </c>
      <c r="P15" s="542"/>
      <c r="Q15" s="610">
        <f t="shared" si="0"/>
        <v>0</v>
      </c>
      <c r="R15" s="542"/>
      <c r="S15" s="659">
        <f>Q15-'P&amp;L'!I15</f>
        <v>0</v>
      </c>
    </row>
    <row r="16" spans="1:19" ht="15" x14ac:dyDescent="0.25">
      <c r="A16" s="534" t="s">
        <v>758</v>
      </c>
      <c r="B16" s="534" t="e">
        <f>IFERROR(VLOOKUP(A16,Race_2024_Seasonal!A:C,3,FALSE), VLOOKUP(A16,Race_2024_Seasonal!A:C,3,FALSE))</f>
        <v>#N/A</v>
      </c>
      <c r="C16" s="543" t="s">
        <v>759</v>
      </c>
      <c r="D16" s="610">
        <f>IFERROR(VLOOKUP($A16,Race_2024_Seasonal!A:X,7,FALSE),0)</f>
        <v>0</v>
      </c>
      <c r="E16" s="610">
        <f>IFERROR(VLOOKUP($A16,Race_2024_Seasonal!A:X,8,FALSE),0)</f>
        <v>0</v>
      </c>
      <c r="F16" s="610">
        <f>IFERROR(VLOOKUP($A16,Race_2024_Seasonal!A:X,9,FALSE),0)</f>
        <v>0</v>
      </c>
      <c r="G16" s="610">
        <f>IFERROR(VLOOKUP($A16,Race_2024_Seasonal!A:X,10,FALSE),0)</f>
        <v>0</v>
      </c>
      <c r="H16" s="610">
        <f>IFERROR(VLOOKUP($A16,Race_2024_Seasonal!A:X,11,FALSE),0)</f>
        <v>0</v>
      </c>
      <c r="I16" s="610">
        <f>IFERROR(VLOOKUP($A16,Race_2024_Seasonal!A:X,12,FALSE),0)</f>
        <v>0</v>
      </c>
      <c r="J16" s="610">
        <f>IFERROR(VLOOKUP($A16,Race_2024_Seasonal!A:X,13,FALSE),0)</f>
        <v>0</v>
      </c>
      <c r="K16" s="610">
        <f>IFERROR(VLOOKUP($A16,Race_2024_Seasonal!A:X,14,FALSE),0)</f>
        <v>0</v>
      </c>
      <c r="L16" s="610">
        <f>IFERROR(VLOOKUP($A16,Race_2024_Seasonal!A:X,15,FALSE),0)</f>
        <v>0</v>
      </c>
      <c r="M16" s="610">
        <f>IFERROR(VLOOKUP($A16,Race_2024_Seasonal!A:X,16,FALSE),0)</f>
        <v>0</v>
      </c>
      <c r="N16" s="610">
        <f>IFERROR(VLOOKUP($A16,Race_2024_Seasonal!A:X,17,FALSE),0)</f>
        <v>0</v>
      </c>
      <c r="O16" s="610">
        <f>IFERROR(VLOOKUP($A16,Race_2024_Seasonal!A:X,18,FALSE),0)</f>
        <v>0</v>
      </c>
      <c r="P16" s="542"/>
      <c r="Q16" s="610">
        <f t="shared" si="0"/>
        <v>0</v>
      </c>
      <c r="R16" s="542"/>
      <c r="S16" s="659">
        <f>Q16-'P&amp;L'!I16</f>
        <v>0</v>
      </c>
    </row>
    <row r="17" spans="1:19" ht="15" x14ac:dyDescent="0.25">
      <c r="A17" s="534" t="s">
        <v>760</v>
      </c>
      <c r="B17" s="534" t="str">
        <f>IFERROR(VLOOKUP(A17,Race_2024_Seasonal!A:C,3,FALSE), VLOOKUP(A17,Race_2024_Seasonal!A:C,3,FALSE))</f>
        <v>Variable costs</v>
      </c>
      <c r="C17" s="540" t="s">
        <v>761</v>
      </c>
      <c r="D17" s="654">
        <f>IFERROR(VLOOKUP($A17,Race_2024_Seasonal!A:X,7,FALSE),0)</f>
        <v>-1147821.169</v>
      </c>
      <c r="E17" s="654">
        <f>IFERROR(VLOOKUP($A17,Race_2024_Seasonal!A:X,8,FALSE),0)</f>
        <v>-1147828.8149999999</v>
      </c>
      <c r="F17" s="654">
        <f>IFERROR(VLOOKUP($A17,Race_2024_Seasonal!A:X,9,FALSE),0)</f>
        <v>-1116946.679</v>
      </c>
      <c r="G17" s="654">
        <f>IFERROR(VLOOKUP($A17,Race_2024_Seasonal!A:X,10,FALSE),0)</f>
        <v>-1147828.8149999999</v>
      </c>
      <c r="H17" s="654">
        <f>IFERROR(VLOOKUP($A17,Race_2024_Seasonal!A:X,11,FALSE),0)</f>
        <v>-1178734.601</v>
      </c>
      <c r="I17" s="654">
        <f>IFERROR(VLOOKUP($A17,Race_2024_Seasonal!A:X,12,FALSE),0)</f>
        <v>-1093590.6629999999</v>
      </c>
      <c r="J17" s="654">
        <f>IFERROR(VLOOKUP($A17,Race_2024_Seasonal!A:X,13,FALSE),0)</f>
        <v>-1187484.3359999999</v>
      </c>
      <c r="K17" s="654">
        <f>IFERROR(VLOOKUP($A17,Race_2024_Seasonal!A:X,14,FALSE),0)</f>
        <v>-1156130.105</v>
      </c>
      <c r="L17" s="654">
        <f>IFERROR(VLOOKUP($A17,Race_2024_Seasonal!A:X,15,FALSE),0)</f>
        <v>-1030943.672</v>
      </c>
      <c r="M17" s="654">
        <f>IFERROR(VLOOKUP($A17,Race_2024_Seasonal!A:X,16,FALSE),0)</f>
        <v>-1187426.648</v>
      </c>
      <c r="N17" s="654">
        <f>IFERROR(VLOOKUP($A17,Race_2024_Seasonal!A:X,17,FALSE),0)</f>
        <v>-1156109.621</v>
      </c>
      <c r="O17" s="654">
        <f>IFERROR(VLOOKUP($A17,Race_2024_Seasonal!A:X,18,FALSE),0)</f>
        <v>-999637.23699999996</v>
      </c>
      <c r="P17" s="542"/>
      <c r="Q17" s="654">
        <f t="shared" si="0"/>
        <v>-13550482.361</v>
      </c>
      <c r="R17" s="542"/>
      <c r="S17" s="659">
        <f>Q17-'P&amp;L'!I17</f>
        <v>0</v>
      </c>
    </row>
    <row r="18" spans="1:19" ht="15" x14ac:dyDescent="0.25">
      <c r="A18" s="534" t="s">
        <v>762</v>
      </c>
      <c r="B18" s="534" t="str">
        <f>IFERROR(VLOOKUP(A18,Race_2024_Seasonal!A:C,3,FALSE), VLOOKUP(A18,Race_2024_Seasonal!A:C,3,FALSE))</f>
        <v>Var costs over stand</v>
      </c>
      <c r="C18" s="554" t="s">
        <v>763</v>
      </c>
      <c r="D18" s="653">
        <f>IFERROR(VLOOKUP($A18,Race_2024_Seasonal!A:X,7,FALSE),0)</f>
        <v>-1126110.7120000001</v>
      </c>
      <c r="E18" s="653">
        <f>IFERROR(VLOOKUP($A18,Race_2024_Seasonal!A:X,8,FALSE),0)</f>
        <v>-1126118.1910000001</v>
      </c>
      <c r="F18" s="653">
        <f>IFERROR(VLOOKUP($A18,Race_2024_Seasonal!A:X,9,FALSE),0)</f>
        <v>-1095818.7180000001</v>
      </c>
      <c r="G18" s="653">
        <f>IFERROR(VLOOKUP($A18,Race_2024_Seasonal!A:X,10,FALSE),0)</f>
        <v>-1126118.1910000001</v>
      </c>
      <c r="H18" s="653">
        <f>IFERROR(VLOOKUP($A18,Race_2024_Seasonal!A:X,11,FALSE),0)</f>
        <v>-1156440.7690000001</v>
      </c>
      <c r="I18" s="653">
        <f>IFERROR(VLOOKUP($A18,Race_2024_Seasonal!A:X,12,FALSE),0)</f>
        <v>-1072879.0319999999</v>
      </c>
      <c r="J18" s="653">
        <f>IFERROR(VLOOKUP($A18,Race_2024_Seasonal!A:X,13,FALSE),0)</f>
        <v>-1164997.27</v>
      </c>
      <c r="K18" s="653">
        <f>IFERROR(VLOOKUP($A18,Race_2024_Seasonal!A:X,14,FALSE),0)</f>
        <v>-1134236.023</v>
      </c>
      <c r="L18" s="653">
        <f>IFERROR(VLOOKUP($A18,Race_2024_Seasonal!A:X,15,FALSE),0)</f>
        <v>-1011416.742</v>
      </c>
      <c r="M18" s="653">
        <f>IFERROR(VLOOKUP($A18,Race_2024_Seasonal!A:X,16,FALSE),0)</f>
        <v>-1164940.7339999999</v>
      </c>
      <c r="N18" s="653">
        <f>IFERROR(VLOOKUP($A18,Race_2024_Seasonal!A:X,17,FALSE),0)</f>
        <v>-1134215.929</v>
      </c>
      <c r="O18" s="653">
        <f>IFERROR(VLOOKUP($A18,Race_2024_Seasonal!A:X,18,FALSE),0)</f>
        <v>-980702.31700000004</v>
      </c>
      <c r="P18" s="542"/>
      <c r="Q18" s="653">
        <f t="shared" si="0"/>
        <v>-13293994.628</v>
      </c>
      <c r="R18" s="542"/>
      <c r="S18" s="659">
        <f>Q18-'P&amp;L'!I18</f>
        <v>0</v>
      </c>
    </row>
    <row r="19" spans="1:19" ht="15" x14ac:dyDescent="0.25">
      <c r="A19" s="534" t="s">
        <v>764</v>
      </c>
      <c r="B19" s="534" t="e">
        <f>IFERROR(VLOOKUP(A19,Race_2024_Seasonal!A:C,3,FALSE), VLOOKUP(A19,Race_2024_Seasonal!A:C,3,FALSE))</f>
        <v>#N/A</v>
      </c>
      <c r="C19" s="541" t="s">
        <v>765</v>
      </c>
      <c r="D19" s="610">
        <f>IFERROR(VLOOKUP($A19,Race_2024_Seasonal!A:X,7,FALSE),0)</f>
        <v>0</v>
      </c>
      <c r="E19" s="610">
        <f>IFERROR(VLOOKUP($A19,Race_2024_Seasonal!A:X,8,FALSE),0)</f>
        <v>0</v>
      </c>
      <c r="F19" s="610">
        <f>IFERROR(VLOOKUP($A19,Race_2024_Seasonal!A:X,9,FALSE),0)</f>
        <v>0</v>
      </c>
      <c r="G19" s="610">
        <f>IFERROR(VLOOKUP($A19,Race_2024_Seasonal!A:X,10,FALSE),0)</f>
        <v>0</v>
      </c>
      <c r="H19" s="610">
        <f>IFERROR(VLOOKUP($A19,Race_2024_Seasonal!A:X,11,FALSE),0)</f>
        <v>0</v>
      </c>
      <c r="I19" s="610">
        <f>IFERROR(VLOOKUP($A19,Race_2024_Seasonal!A:X,12,FALSE),0)</f>
        <v>0</v>
      </c>
      <c r="J19" s="610">
        <f>IFERROR(VLOOKUP($A19,Race_2024_Seasonal!A:X,13,FALSE),0)</f>
        <v>0</v>
      </c>
      <c r="K19" s="610">
        <f>IFERROR(VLOOKUP($A19,Race_2024_Seasonal!A:X,14,FALSE),0)</f>
        <v>0</v>
      </c>
      <c r="L19" s="610">
        <f>IFERROR(VLOOKUP($A19,Race_2024_Seasonal!A:X,15,FALSE),0)</f>
        <v>0</v>
      </c>
      <c r="M19" s="610">
        <f>IFERROR(VLOOKUP($A19,Race_2024_Seasonal!A:X,16,FALSE),0)</f>
        <v>0</v>
      </c>
      <c r="N19" s="610">
        <f>IFERROR(VLOOKUP($A19,Race_2024_Seasonal!A:X,17,FALSE),0)</f>
        <v>0</v>
      </c>
      <c r="O19" s="610">
        <f>IFERROR(VLOOKUP($A19,Race_2024_Seasonal!A:X,18,FALSE),0)</f>
        <v>0</v>
      </c>
      <c r="P19" s="542"/>
      <c r="Q19" s="610">
        <f t="shared" si="0"/>
        <v>0</v>
      </c>
      <c r="R19" s="542"/>
      <c r="S19" s="659">
        <f>Q19-'P&amp;L'!I19</f>
        <v>0</v>
      </c>
    </row>
    <row r="20" spans="1:19" ht="15" x14ac:dyDescent="0.25">
      <c r="A20" s="534" t="s">
        <v>766</v>
      </c>
      <c r="B20" s="534" t="str">
        <f>IFERROR(VLOOKUP(A20,Race_2024_Seasonal!A:C,3,FALSE), VLOOKUP(A20,Race_2024_Seasonal!A:C,3,FALSE))</f>
        <v>Var. manuf. costs</v>
      </c>
      <c r="C20" s="541" t="s">
        <v>767</v>
      </c>
      <c r="D20" s="610">
        <f>IFERROR(VLOOKUP($A20,Race_2024_Seasonal!A:X,7,FALSE),0)</f>
        <v>-1103372.9080000001</v>
      </c>
      <c r="E20" s="610">
        <f>IFERROR(VLOOKUP($A20,Race_2024_Seasonal!A:X,8,FALSE),0)</f>
        <v>-1103380.186</v>
      </c>
      <c r="F20" s="610">
        <f>IFERROR(VLOOKUP($A20,Race_2024_Seasonal!A:X,9,FALSE),0)</f>
        <v>-1073636.2509999999</v>
      </c>
      <c r="G20" s="610">
        <f>IFERROR(VLOOKUP($A20,Race_2024_Seasonal!A:X,10,FALSE),0)</f>
        <v>-1103380.186</v>
      </c>
      <c r="H20" s="610">
        <f>IFERROR(VLOOKUP($A20,Race_2024_Seasonal!A:X,11,FALSE),0)</f>
        <v>-1133146.916</v>
      </c>
      <c r="I20" s="610">
        <f>IFERROR(VLOOKUP($A20,Race_2024_Seasonal!A:X,12,FALSE),0)</f>
        <v>-1051120.2549999999</v>
      </c>
      <c r="J20" s="610">
        <f>IFERROR(VLOOKUP($A20,Race_2024_Seasonal!A:X,13,FALSE),0)</f>
        <v>-1141550.1240000001</v>
      </c>
      <c r="K20" s="610">
        <f>IFERROR(VLOOKUP($A20,Race_2024_Seasonal!A:X,14,FALSE),0)</f>
        <v>-1111352.581</v>
      </c>
      <c r="L20" s="610">
        <f>IFERROR(VLOOKUP($A20,Race_2024_Seasonal!A:X,15,FALSE),0)</f>
        <v>-990784.43799999997</v>
      </c>
      <c r="M20" s="610">
        <f>IFERROR(VLOOKUP($A20,Race_2024_Seasonal!A:X,16,FALSE),0)</f>
        <v>-1141494.5989999999</v>
      </c>
      <c r="N20" s="610">
        <f>IFERROR(VLOOKUP($A20,Race_2024_Seasonal!A:X,17,FALSE),0)</f>
        <v>-1111332.8840000001</v>
      </c>
      <c r="O20" s="610">
        <f>IFERROR(VLOOKUP($A20,Race_2024_Seasonal!A:X,18,FALSE),0)</f>
        <v>-960632.93900000001</v>
      </c>
      <c r="P20" s="542"/>
      <c r="Q20" s="610">
        <f t="shared" si="0"/>
        <v>-13025184.266999997</v>
      </c>
      <c r="R20" s="542"/>
      <c r="S20" s="659">
        <f>Q20-'P&amp;L'!I20</f>
        <v>0</v>
      </c>
    </row>
    <row r="21" spans="1:19" ht="15" x14ac:dyDescent="0.25">
      <c r="A21" s="534" t="s">
        <v>768</v>
      </c>
      <c r="B21" s="534" t="str">
        <f>IFERROR(VLOOKUP(A21,Race_2024_Seasonal!A:C,3,FALSE), VLOOKUP(A21,Race_2024_Seasonal!A:C,3,FALSE))</f>
        <v>Other var. costs</v>
      </c>
      <c r="C21" s="552" t="s">
        <v>769</v>
      </c>
      <c r="D21" s="655">
        <f>IFERROR(VLOOKUP($A21,Race_2024_Seasonal!A:X,7,FALSE),0)</f>
        <v>-22737.804</v>
      </c>
      <c r="E21" s="655">
        <f>IFERROR(VLOOKUP($A21,Race_2024_Seasonal!A:X,8,FALSE),0)</f>
        <v>-22738.005000000001</v>
      </c>
      <c r="F21" s="655">
        <f>IFERROR(VLOOKUP($A21,Race_2024_Seasonal!A:X,9,FALSE),0)</f>
        <v>-22182.467000000001</v>
      </c>
      <c r="G21" s="655">
        <f>IFERROR(VLOOKUP($A21,Race_2024_Seasonal!A:X,10,FALSE),0)</f>
        <v>-22738.005000000001</v>
      </c>
      <c r="H21" s="655">
        <f>IFERROR(VLOOKUP($A21,Race_2024_Seasonal!A:X,11,FALSE),0)</f>
        <v>-23293.852999999999</v>
      </c>
      <c r="I21" s="655">
        <f>IFERROR(VLOOKUP($A21,Race_2024_Seasonal!A:X,12,FALSE),0)</f>
        <v>-21758.776999999998</v>
      </c>
      <c r="J21" s="655">
        <f>IFERROR(VLOOKUP($A21,Race_2024_Seasonal!A:X,13,FALSE),0)</f>
        <v>-23447.146000000001</v>
      </c>
      <c r="K21" s="655">
        <f>IFERROR(VLOOKUP($A21,Race_2024_Seasonal!A:X,14,FALSE),0)</f>
        <v>-22883.441999999999</v>
      </c>
      <c r="L21" s="655">
        <f>IFERROR(VLOOKUP($A21,Race_2024_Seasonal!A:X,15,FALSE),0)</f>
        <v>-20632.304</v>
      </c>
      <c r="M21" s="655">
        <f>IFERROR(VLOOKUP($A21,Race_2024_Seasonal!A:X,16,FALSE),0)</f>
        <v>-23446.134999999998</v>
      </c>
      <c r="N21" s="655">
        <f>IFERROR(VLOOKUP($A21,Race_2024_Seasonal!A:X,17,FALSE),0)</f>
        <v>-22883.044999999998</v>
      </c>
      <c r="O21" s="655">
        <f>IFERROR(VLOOKUP($A21,Race_2024_Seasonal!A:X,18,FALSE),0)</f>
        <v>-20069.378000000001</v>
      </c>
      <c r="P21" s="542"/>
      <c r="Q21" s="655">
        <f t="shared" si="0"/>
        <v>-268810.36100000003</v>
      </c>
      <c r="R21" s="542"/>
      <c r="S21" s="659">
        <f>Q21-'P&amp;L'!I21</f>
        <v>0</v>
      </c>
    </row>
    <row r="22" spans="1:19" ht="15" x14ac:dyDescent="0.25">
      <c r="A22" s="534" t="s">
        <v>770</v>
      </c>
      <c r="B22" s="534" t="str">
        <f>IFERROR(VLOOKUP(A22,Race_2024_Seasonal!A:C,3,FALSE), VLOOKUP(A22,Race_2024_Seasonal!A:C,3,FALSE))</f>
        <v>OVC handling</v>
      </c>
      <c r="C22" s="551" t="s">
        <v>771</v>
      </c>
      <c r="D22" s="649">
        <f>IFERROR(VLOOKUP($A22,Race_2024_Seasonal!A:X,7,FALSE),0)</f>
        <v>-15634.894</v>
      </c>
      <c r="E22" s="649">
        <f>IFERROR(VLOOKUP($A22,Race_2024_Seasonal!A:X,8,FALSE),0)</f>
        <v>-15635.026</v>
      </c>
      <c r="F22" s="649">
        <f>IFERROR(VLOOKUP($A22,Race_2024_Seasonal!A:X,9,FALSE),0)</f>
        <v>-15236.322</v>
      </c>
      <c r="G22" s="649">
        <f>IFERROR(VLOOKUP($A22,Race_2024_Seasonal!A:X,10,FALSE),0)</f>
        <v>-15635.026</v>
      </c>
      <c r="H22" s="649">
        <f>IFERROR(VLOOKUP($A22,Race_2024_Seasonal!A:X,11,FALSE),0)</f>
        <v>-16034.022000000001</v>
      </c>
      <c r="I22" s="649">
        <f>IFERROR(VLOOKUP($A22,Race_2024_Seasonal!A:X,12,FALSE),0)</f>
        <v>-14941.215</v>
      </c>
      <c r="J22" s="649">
        <f>IFERROR(VLOOKUP($A22,Race_2024_Seasonal!A:X,13,FALSE),0)</f>
        <v>-16154.419</v>
      </c>
      <c r="K22" s="649">
        <f>IFERROR(VLOOKUP($A22,Race_2024_Seasonal!A:X,14,FALSE),0)</f>
        <v>-15749.293</v>
      </c>
      <c r="L22" s="649">
        <f>IFERROR(VLOOKUP($A22,Race_2024_Seasonal!A:X,15,FALSE),0)</f>
        <v>-14131.726000000001</v>
      </c>
      <c r="M22" s="649">
        <f>IFERROR(VLOOKUP($A22,Race_2024_Seasonal!A:X,16,FALSE),0)</f>
        <v>-16153.666999999999</v>
      </c>
      <c r="N22" s="649">
        <f>IFERROR(VLOOKUP($A22,Race_2024_Seasonal!A:X,17,FALSE),0)</f>
        <v>-15749.017</v>
      </c>
      <c r="O22" s="649">
        <f>IFERROR(VLOOKUP($A22,Race_2024_Seasonal!A:X,18,FALSE),0)</f>
        <v>-13727.206</v>
      </c>
      <c r="P22" s="542"/>
      <c r="Q22" s="649">
        <f t="shared" si="0"/>
        <v>-184781.83299999998</v>
      </c>
      <c r="R22" s="542"/>
      <c r="S22" s="659">
        <f>Q22-'P&amp;L'!I22</f>
        <v>0</v>
      </c>
    </row>
    <row r="23" spans="1:19" ht="15" x14ac:dyDescent="0.25">
      <c r="A23" s="534" t="s">
        <v>772</v>
      </c>
      <c r="B23" s="534" t="str">
        <f>IFERROR(VLOOKUP(A23,Race_2024_Seasonal!A:C,3,FALSE), VLOOKUP(A23,Race_2024_Seasonal!A:C,3,FALSE))</f>
        <v>OVC freight</v>
      </c>
      <c r="C23" s="551" t="s">
        <v>773</v>
      </c>
      <c r="D23" s="649">
        <f>IFERROR(VLOOKUP($A23,Race_2024_Seasonal!A:X,7,FALSE),0)</f>
        <v>-7102.91</v>
      </c>
      <c r="E23" s="649">
        <f>IFERROR(VLOOKUP($A23,Race_2024_Seasonal!A:X,8,FALSE),0)</f>
        <v>-7102.9790000000003</v>
      </c>
      <c r="F23" s="649">
        <f>IFERROR(VLOOKUP($A23,Race_2024_Seasonal!A:X,9,FALSE),0)</f>
        <v>-6946.1450000000004</v>
      </c>
      <c r="G23" s="649">
        <f>IFERROR(VLOOKUP($A23,Race_2024_Seasonal!A:X,10,FALSE),0)</f>
        <v>-7102.9790000000003</v>
      </c>
      <c r="H23" s="649">
        <f>IFERROR(VLOOKUP($A23,Race_2024_Seasonal!A:X,11,FALSE),0)</f>
        <v>-7259.8310000000001</v>
      </c>
      <c r="I23" s="649">
        <f>IFERROR(VLOOKUP($A23,Race_2024_Seasonal!A:X,12,FALSE),0)</f>
        <v>-6817.5619999999999</v>
      </c>
      <c r="J23" s="649">
        <f>IFERROR(VLOOKUP($A23,Race_2024_Seasonal!A:X,13,FALSE),0)</f>
        <v>-7292.7269999999999</v>
      </c>
      <c r="K23" s="649">
        <f>IFERROR(VLOOKUP($A23,Race_2024_Seasonal!A:X,14,FALSE),0)</f>
        <v>-7134.1490000000003</v>
      </c>
      <c r="L23" s="649">
        <f>IFERROR(VLOOKUP($A23,Race_2024_Seasonal!A:X,15,FALSE),0)</f>
        <v>-6500.5780000000004</v>
      </c>
      <c r="M23" s="649">
        <f>IFERROR(VLOOKUP($A23,Race_2024_Seasonal!A:X,16,FALSE),0)</f>
        <v>-7292.4679999999998</v>
      </c>
      <c r="N23" s="649">
        <f>IFERROR(VLOOKUP($A23,Race_2024_Seasonal!A:X,17,FALSE),0)</f>
        <v>-7134.0280000000002</v>
      </c>
      <c r="O23" s="649">
        <f>IFERROR(VLOOKUP($A23,Race_2024_Seasonal!A:X,18,FALSE),0)</f>
        <v>-6342.1719999999996</v>
      </c>
      <c r="P23" s="542"/>
      <c r="Q23" s="649">
        <f t="shared" si="0"/>
        <v>-84028.528000000006</v>
      </c>
      <c r="R23" s="542"/>
      <c r="S23" s="659">
        <f>Q23-'P&amp;L'!I23</f>
        <v>0</v>
      </c>
    </row>
    <row r="24" spans="1:19" ht="15" x14ac:dyDescent="0.25">
      <c r="A24" s="534" t="s">
        <v>774</v>
      </c>
      <c r="B24" s="534" t="e">
        <f>IFERROR(VLOOKUP(A24,Race_2024_Seasonal!A:C,3,FALSE), VLOOKUP(A24,Race_2024_Seasonal!A:C,3,FALSE))</f>
        <v>#N/A</v>
      </c>
      <c r="C24" s="551" t="s">
        <v>775</v>
      </c>
      <c r="D24" s="649">
        <f>IFERROR(VLOOKUP($A24,Race_2024_Seasonal!A:X,7,FALSE),0)</f>
        <v>0</v>
      </c>
      <c r="E24" s="649">
        <f>IFERROR(VLOOKUP($A24,Race_2024_Seasonal!A:X,8,FALSE),0)</f>
        <v>0</v>
      </c>
      <c r="F24" s="649">
        <f>IFERROR(VLOOKUP($A24,Race_2024_Seasonal!A:X,9,FALSE),0)</f>
        <v>0</v>
      </c>
      <c r="G24" s="649">
        <f>IFERROR(VLOOKUP($A24,Race_2024_Seasonal!A:X,10,FALSE),0)</f>
        <v>0</v>
      </c>
      <c r="H24" s="649">
        <f>IFERROR(VLOOKUP($A24,Race_2024_Seasonal!A:X,11,FALSE),0)</f>
        <v>0</v>
      </c>
      <c r="I24" s="649">
        <f>IFERROR(VLOOKUP($A24,Race_2024_Seasonal!A:X,12,FALSE),0)</f>
        <v>0</v>
      </c>
      <c r="J24" s="649">
        <f>IFERROR(VLOOKUP($A24,Race_2024_Seasonal!A:X,13,FALSE),0)</f>
        <v>0</v>
      </c>
      <c r="K24" s="649">
        <f>IFERROR(VLOOKUP($A24,Race_2024_Seasonal!A:X,14,FALSE),0)</f>
        <v>0</v>
      </c>
      <c r="L24" s="649">
        <f>IFERROR(VLOOKUP($A24,Race_2024_Seasonal!A:X,15,FALSE),0)</f>
        <v>0</v>
      </c>
      <c r="M24" s="649">
        <f>IFERROR(VLOOKUP($A24,Race_2024_Seasonal!A:X,16,FALSE),0)</f>
        <v>0</v>
      </c>
      <c r="N24" s="649">
        <f>IFERROR(VLOOKUP($A24,Race_2024_Seasonal!A:X,17,FALSE),0)</f>
        <v>0</v>
      </c>
      <c r="O24" s="649">
        <f>IFERROR(VLOOKUP($A24,Race_2024_Seasonal!A:X,18,FALSE),0)</f>
        <v>0</v>
      </c>
      <c r="P24" s="542"/>
      <c r="Q24" s="649">
        <f t="shared" si="0"/>
        <v>0</v>
      </c>
      <c r="R24" s="542"/>
      <c r="S24" s="659">
        <f>Q24-'P&amp;L'!I24</f>
        <v>0</v>
      </c>
    </row>
    <row r="25" spans="1:19" ht="15" x14ac:dyDescent="0.25">
      <c r="A25" s="534" t="s">
        <v>776</v>
      </c>
      <c r="B25" s="534" t="str">
        <f>IFERROR(VLOOKUP(A25,Race_2024_Seasonal!A:C,3,FALSE), VLOOKUP(A25,Race_2024_Seasonal!A:C,3,FALSE))</f>
        <v>Cost variations</v>
      </c>
      <c r="C25" s="554" t="s">
        <v>777</v>
      </c>
      <c r="D25" s="656">
        <f>IFERROR(VLOOKUP($A25,Race_2024_Seasonal!A:X,7,FALSE),0)</f>
        <v>-21710.456999999999</v>
      </c>
      <c r="E25" s="656">
        <f>IFERROR(VLOOKUP($A25,Race_2024_Seasonal!A:X,8,FALSE),0)</f>
        <v>-21710.624</v>
      </c>
      <c r="F25" s="656">
        <f>IFERROR(VLOOKUP($A25,Race_2024_Seasonal!A:X,9,FALSE),0)</f>
        <v>-21127.960999999999</v>
      </c>
      <c r="G25" s="656">
        <f>IFERROR(VLOOKUP($A25,Race_2024_Seasonal!A:X,10,FALSE),0)</f>
        <v>-21710.624</v>
      </c>
      <c r="H25" s="656">
        <f>IFERROR(VLOOKUP($A25,Race_2024_Seasonal!A:X,11,FALSE),0)</f>
        <v>-22293.831999999999</v>
      </c>
      <c r="I25" s="656">
        <f>IFERROR(VLOOKUP($A25,Race_2024_Seasonal!A:X,12,FALSE),0)</f>
        <v>-20711.631000000001</v>
      </c>
      <c r="J25" s="656">
        <f>IFERROR(VLOOKUP($A25,Race_2024_Seasonal!A:X,13,FALSE),0)</f>
        <v>-22487.065999999999</v>
      </c>
      <c r="K25" s="656">
        <f>IFERROR(VLOOKUP($A25,Race_2024_Seasonal!A:X,14,FALSE),0)</f>
        <v>-21894.081999999999</v>
      </c>
      <c r="L25" s="656">
        <f>IFERROR(VLOOKUP($A25,Race_2024_Seasonal!A:X,15,FALSE),0)</f>
        <v>-19526.93</v>
      </c>
      <c r="M25" s="656">
        <f>IFERROR(VLOOKUP($A25,Race_2024_Seasonal!A:X,16,FALSE),0)</f>
        <v>-22485.914000000001</v>
      </c>
      <c r="N25" s="656">
        <f>IFERROR(VLOOKUP($A25,Race_2024_Seasonal!A:X,17,FALSE),0)</f>
        <v>-21893.691999999999</v>
      </c>
      <c r="O25" s="656">
        <f>IFERROR(VLOOKUP($A25,Race_2024_Seasonal!A:X,18,FALSE),0)</f>
        <v>-18934.919999999998</v>
      </c>
      <c r="P25" s="542"/>
      <c r="Q25" s="656">
        <f t="shared" si="0"/>
        <v>-256487.73299999995</v>
      </c>
      <c r="R25" s="542"/>
      <c r="S25" s="659">
        <f>Q25-'P&amp;L'!I25</f>
        <v>0</v>
      </c>
    </row>
    <row r="26" spans="1:19" ht="15" x14ac:dyDescent="0.25">
      <c r="A26" s="534" t="s">
        <v>778</v>
      </c>
      <c r="B26" s="534" t="e">
        <f>IFERROR(VLOOKUP(A26,Race_2024_Seasonal!A:C,3,FALSE), VLOOKUP(A26,Race_2024_Seasonal!A:C,3,FALSE))</f>
        <v>#N/A</v>
      </c>
      <c r="C26" s="552" t="s">
        <v>779</v>
      </c>
      <c r="D26" s="653">
        <f>IFERROR(VLOOKUP($A26,Race_2024_Seasonal!A:X,7,FALSE),0)</f>
        <v>0</v>
      </c>
      <c r="E26" s="653">
        <f>IFERROR(VLOOKUP($A26,Race_2024_Seasonal!A:X,8,FALSE),0)</f>
        <v>0</v>
      </c>
      <c r="F26" s="653">
        <f>IFERROR(VLOOKUP($A26,Race_2024_Seasonal!A:X,9,FALSE),0)</f>
        <v>0</v>
      </c>
      <c r="G26" s="653">
        <f>IFERROR(VLOOKUP($A26,Race_2024_Seasonal!A:X,10,FALSE),0)</f>
        <v>0</v>
      </c>
      <c r="H26" s="653">
        <f>IFERROR(VLOOKUP($A26,Race_2024_Seasonal!A:X,11,FALSE),0)</f>
        <v>0</v>
      </c>
      <c r="I26" s="653">
        <f>IFERROR(VLOOKUP($A26,Race_2024_Seasonal!A:X,12,FALSE),0)</f>
        <v>0</v>
      </c>
      <c r="J26" s="653">
        <f>IFERROR(VLOOKUP($A26,Race_2024_Seasonal!A:X,13,FALSE),0)</f>
        <v>0</v>
      </c>
      <c r="K26" s="653">
        <f>IFERROR(VLOOKUP($A26,Race_2024_Seasonal!A:X,14,FALSE),0)</f>
        <v>0</v>
      </c>
      <c r="L26" s="653">
        <f>IFERROR(VLOOKUP($A26,Race_2024_Seasonal!A:X,15,FALSE),0)</f>
        <v>0</v>
      </c>
      <c r="M26" s="653">
        <f>IFERROR(VLOOKUP($A26,Race_2024_Seasonal!A:X,16,FALSE),0)</f>
        <v>0</v>
      </c>
      <c r="N26" s="653">
        <f>IFERROR(VLOOKUP($A26,Race_2024_Seasonal!A:X,17,FALSE),0)</f>
        <v>0</v>
      </c>
      <c r="O26" s="653">
        <f>IFERROR(VLOOKUP($A26,Race_2024_Seasonal!A:X,18,FALSE),0)</f>
        <v>0</v>
      </c>
      <c r="P26" s="542"/>
      <c r="Q26" s="653">
        <f t="shared" si="0"/>
        <v>0</v>
      </c>
      <c r="R26" s="542"/>
      <c r="S26" s="659">
        <f>Q26-'P&amp;L'!I26</f>
        <v>0</v>
      </c>
    </row>
    <row r="27" spans="1:19" ht="15" x14ac:dyDescent="0.25">
      <c r="A27" s="534" t="s">
        <v>780</v>
      </c>
      <c r="B27" s="534" t="e">
        <f>IFERROR(VLOOKUP(A27,Race_2024_Seasonal!A:C,3,FALSE), VLOOKUP(A27,Race_2024_Seasonal!A:C,3,FALSE))</f>
        <v>#N/A</v>
      </c>
      <c r="C27" s="551" t="s">
        <v>781</v>
      </c>
      <c r="D27" s="610">
        <f>IFERROR(VLOOKUP($A27,Race_2024_Seasonal!A:X,7,FALSE),0)</f>
        <v>0</v>
      </c>
      <c r="E27" s="610">
        <f>IFERROR(VLOOKUP($A27,Race_2024_Seasonal!A:X,8,FALSE),0)</f>
        <v>0</v>
      </c>
      <c r="F27" s="610">
        <f>IFERROR(VLOOKUP($A27,Race_2024_Seasonal!A:X,9,FALSE),0)</f>
        <v>0</v>
      </c>
      <c r="G27" s="610">
        <f>IFERROR(VLOOKUP($A27,Race_2024_Seasonal!A:X,10,FALSE),0)</f>
        <v>0</v>
      </c>
      <c r="H27" s="610">
        <f>IFERROR(VLOOKUP($A27,Race_2024_Seasonal!A:X,11,FALSE),0)</f>
        <v>0</v>
      </c>
      <c r="I27" s="610">
        <f>IFERROR(VLOOKUP($A27,Race_2024_Seasonal!A:X,12,FALSE),0)</f>
        <v>0</v>
      </c>
      <c r="J27" s="610">
        <f>IFERROR(VLOOKUP($A27,Race_2024_Seasonal!A:X,13,FALSE),0)</f>
        <v>0</v>
      </c>
      <c r="K27" s="610">
        <f>IFERROR(VLOOKUP($A27,Race_2024_Seasonal!A:X,14,FALSE),0)</f>
        <v>0</v>
      </c>
      <c r="L27" s="610">
        <f>IFERROR(VLOOKUP($A27,Race_2024_Seasonal!A:X,15,FALSE),0)</f>
        <v>0</v>
      </c>
      <c r="M27" s="610">
        <f>IFERROR(VLOOKUP($A27,Race_2024_Seasonal!A:X,16,FALSE),0)</f>
        <v>0</v>
      </c>
      <c r="N27" s="610">
        <f>IFERROR(VLOOKUP($A27,Race_2024_Seasonal!A:X,17,FALSE),0)</f>
        <v>0</v>
      </c>
      <c r="O27" s="610">
        <f>IFERROR(VLOOKUP($A27,Race_2024_Seasonal!A:X,18,FALSE),0)</f>
        <v>0</v>
      </c>
      <c r="P27" s="542"/>
      <c r="Q27" s="610">
        <f t="shared" si="0"/>
        <v>0</v>
      </c>
      <c r="R27" s="542"/>
      <c r="S27" s="659">
        <f>Q27-'P&amp;L'!I27</f>
        <v>0</v>
      </c>
    </row>
    <row r="28" spans="1:19" ht="15" x14ac:dyDescent="0.25">
      <c r="A28" s="534" t="s">
        <v>782</v>
      </c>
      <c r="B28" s="534" t="e">
        <f>IFERROR(VLOOKUP(A28,Race_2024_Seasonal!A:C,3,FALSE), VLOOKUP(A28,Race_2024_Seasonal!A:C,3,FALSE))</f>
        <v>#N/A</v>
      </c>
      <c r="C28" s="551" t="s">
        <v>783</v>
      </c>
      <c r="D28" s="649">
        <f>IFERROR(VLOOKUP($A28,Race_2024_Seasonal!A:X,7,FALSE),0)</f>
        <v>0</v>
      </c>
      <c r="E28" s="649">
        <f>IFERROR(VLOOKUP($A28,Race_2024_Seasonal!A:X,8,FALSE),0)</f>
        <v>0</v>
      </c>
      <c r="F28" s="649">
        <f>IFERROR(VLOOKUP($A28,Race_2024_Seasonal!A:X,9,FALSE),0)</f>
        <v>0</v>
      </c>
      <c r="G28" s="649">
        <f>IFERROR(VLOOKUP($A28,Race_2024_Seasonal!A:X,10,FALSE),0)</f>
        <v>0</v>
      </c>
      <c r="H28" s="649">
        <f>IFERROR(VLOOKUP($A28,Race_2024_Seasonal!A:X,11,FALSE),0)</f>
        <v>0</v>
      </c>
      <c r="I28" s="649">
        <f>IFERROR(VLOOKUP($A28,Race_2024_Seasonal!A:X,12,FALSE),0)</f>
        <v>0</v>
      </c>
      <c r="J28" s="649">
        <f>IFERROR(VLOOKUP($A28,Race_2024_Seasonal!A:X,13,FALSE),0)</f>
        <v>0</v>
      </c>
      <c r="K28" s="649">
        <f>IFERROR(VLOOKUP($A28,Race_2024_Seasonal!A:X,14,FALSE),0)</f>
        <v>0</v>
      </c>
      <c r="L28" s="649">
        <f>IFERROR(VLOOKUP($A28,Race_2024_Seasonal!A:X,15,FALSE),0)</f>
        <v>0</v>
      </c>
      <c r="M28" s="649">
        <f>IFERROR(VLOOKUP($A28,Race_2024_Seasonal!A:X,16,FALSE),0)</f>
        <v>0</v>
      </c>
      <c r="N28" s="649">
        <f>IFERROR(VLOOKUP($A28,Race_2024_Seasonal!A:X,17,FALSE),0)</f>
        <v>0</v>
      </c>
      <c r="O28" s="649">
        <f>IFERROR(VLOOKUP($A28,Race_2024_Seasonal!A:X,18,FALSE),0)</f>
        <v>0</v>
      </c>
      <c r="P28" s="542"/>
      <c r="Q28" s="649">
        <f t="shared" si="0"/>
        <v>0</v>
      </c>
      <c r="R28" s="542"/>
      <c r="S28" s="659">
        <f>Q28-'P&amp;L'!I28</f>
        <v>0</v>
      </c>
    </row>
    <row r="29" spans="1:19" ht="15" x14ac:dyDescent="0.25">
      <c r="A29" s="534" t="s">
        <v>784</v>
      </c>
      <c r="B29" s="534" t="e">
        <f>IFERROR(VLOOKUP(A29,Race_2024_Seasonal!A:C,3,FALSE), VLOOKUP(A29,Race_2024_Seasonal!A:C,3,FALSE))</f>
        <v>#N/A</v>
      </c>
      <c r="C29" s="551" t="s">
        <v>785</v>
      </c>
      <c r="D29" s="649">
        <f>IFERROR(VLOOKUP($A29,Race_2024_Seasonal!A:X,7,FALSE),0)</f>
        <v>0</v>
      </c>
      <c r="E29" s="649">
        <f>IFERROR(VLOOKUP($A29,Race_2024_Seasonal!A:X,8,FALSE),0)</f>
        <v>0</v>
      </c>
      <c r="F29" s="649">
        <f>IFERROR(VLOOKUP($A29,Race_2024_Seasonal!A:X,9,FALSE),0)</f>
        <v>0</v>
      </c>
      <c r="G29" s="649">
        <f>IFERROR(VLOOKUP($A29,Race_2024_Seasonal!A:X,10,FALSE),0)</f>
        <v>0</v>
      </c>
      <c r="H29" s="649">
        <f>IFERROR(VLOOKUP($A29,Race_2024_Seasonal!A:X,11,FALSE),0)</f>
        <v>0</v>
      </c>
      <c r="I29" s="649">
        <f>IFERROR(VLOOKUP($A29,Race_2024_Seasonal!A:X,12,FALSE),0)</f>
        <v>0</v>
      </c>
      <c r="J29" s="649">
        <f>IFERROR(VLOOKUP($A29,Race_2024_Seasonal!A:X,13,FALSE),0)</f>
        <v>0</v>
      </c>
      <c r="K29" s="649">
        <f>IFERROR(VLOOKUP($A29,Race_2024_Seasonal!A:X,14,FALSE),0)</f>
        <v>0</v>
      </c>
      <c r="L29" s="649">
        <f>IFERROR(VLOOKUP($A29,Race_2024_Seasonal!A:X,15,FALSE),0)</f>
        <v>0</v>
      </c>
      <c r="M29" s="649">
        <f>IFERROR(VLOOKUP($A29,Race_2024_Seasonal!A:X,16,FALSE),0)</f>
        <v>0</v>
      </c>
      <c r="N29" s="649">
        <f>IFERROR(VLOOKUP($A29,Race_2024_Seasonal!A:X,17,FALSE),0)</f>
        <v>0</v>
      </c>
      <c r="O29" s="649">
        <f>IFERROR(VLOOKUP($A29,Race_2024_Seasonal!A:X,18,FALSE),0)</f>
        <v>0</v>
      </c>
      <c r="P29" s="542"/>
      <c r="Q29" s="649">
        <f t="shared" si="0"/>
        <v>0</v>
      </c>
      <c r="R29" s="542"/>
      <c r="S29" s="659">
        <f>Q29-'P&amp;L'!I29</f>
        <v>0</v>
      </c>
    </row>
    <row r="30" spans="1:19" ht="15" x14ac:dyDescent="0.25">
      <c r="A30" s="534" t="s">
        <v>786</v>
      </c>
      <c r="B30" s="534" t="e">
        <f>IFERROR(VLOOKUP(A30,Race_2024_Seasonal!A:C,3,FALSE), VLOOKUP(A30,Race_2024_Seasonal!A:C,3,FALSE))</f>
        <v>#N/A</v>
      </c>
      <c r="C30" s="551" t="s">
        <v>787</v>
      </c>
      <c r="D30" s="649">
        <f>IFERROR(VLOOKUP($A30,Race_2024_Seasonal!A:X,7,FALSE),0)</f>
        <v>0</v>
      </c>
      <c r="E30" s="649">
        <f>IFERROR(VLOOKUP($A30,Race_2024_Seasonal!A:X,8,FALSE),0)</f>
        <v>0</v>
      </c>
      <c r="F30" s="649">
        <f>IFERROR(VLOOKUP($A30,Race_2024_Seasonal!A:X,9,FALSE),0)</f>
        <v>0</v>
      </c>
      <c r="G30" s="649">
        <f>IFERROR(VLOOKUP($A30,Race_2024_Seasonal!A:X,10,FALSE),0)</f>
        <v>0</v>
      </c>
      <c r="H30" s="649">
        <f>IFERROR(VLOOKUP($A30,Race_2024_Seasonal!A:X,11,FALSE),0)</f>
        <v>0</v>
      </c>
      <c r="I30" s="649">
        <f>IFERROR(VLOOKUP($A30,Race_2024_Seasonal!A:X,12,FALSE),0)</f>
        <v>0</v>
      </c>
      <c r="J30" s="649">
        <f>IFERROR(VLOOKUP($A30,Race_2024_Seasonal!A:X,13,FALSE),0)</f>
        <v>0</v>
      </c>
      <c r="K30" s="649">
        <f>IFERROR(VLOOKUP($A30,Race_2024_Seasonal!A:X,14,FALSE),0)</f>
        <v>0</v>
      </c>
      <c r="L30" s="649">
        <f>IFERROR(VLOOKUP($A30,Race_2024_Seasonal!A:X,15,FALSE),0)</f>
        <v>0</v>
      </c>
      <c r="M30" s="649">
        <f>IFERROR(VLOOKUP($A30,Race_2024_Seasonal!A:X,16,FALSE),0)</f>
        <v>0</v>
      </c>
      <c r="N30" s="649">
        <f>IFERROR(VLOOKUP($A30,Race_2024_Seasonal!A:X,17,FALSE),0)</f>
        <v>0</v>
      </c>
      <c r="O30" s="649">
        <f>IFERROR(VLOOKUP($A30,Race_2024_Seasonal!A:X,18,FALSE),0)</f>
        <v>0</v>
      </c>
      <c r="P30" s="542"/>
      <c r="Q30" s="649">
        <f t="shared" si="0"/>
        <v>0</v>
      </c>
      <c r="R30" s="542"/>
      <c r="S30" s="659">
        <f>Q30-'P&amp;L'!I30</f>
        <v>0</v>
      </c>
    </row>
    <row r="31" spans="1:19" ht="15" x14ac:dyDescent="0.25">
      <c r="A31" s="534" t="s">
        <v>788</v>
      </c>
      <c r="B31" s="534" t="e">
        <f>IFERROR(VLOOKUP(A31,Race_2024_Seasonal!A:C,3,FALSE), VLOOKUP(A31,Race_2024_Seasonal!A:C,3,FALSE))</f>
        <v>#N/A</v>
      </c>
      <c r="C31" s="551" t="s">
        <v>789</v>
      </c>
      <c r="D31" s="649">
        <f>IFERROR(VLOOKUP($A31,Race_2024_Seasonal!A:X,7,FALSE),0)</f>
        <v>0</v>
      </c>
      <c r="E31" s="649">
        <f>IFERROR(VLOOKUP($A31,Race_2024_Seasonal!A:X,8,FALSE),0)</f>
        <v>0</v>
      </c>
      <c r="F31" s="649">
        <f>IFERROR(VLOOKUP($A31,Race_2024_Seasonal!A:X,9,FALSE),0)</f>
        <v>0</v>
      </c>
      <c r="G31" s="649">
        <f>IFERROR(VLOOKUP($A31,Race_2024_Seasonal!A:X,10,FALSE),0)</f>
        <v>0</v>
      </c>
      <c r="H31" s="649">
        <f>IFERROR(VLOOKUP($A31,Race_2024_Seasonal!A:X,11,FALSE),0)</f>
        <v>0</v>
      </c>
      <c r="I31" s="649">
        <f>IFERROR(VLOOKUP($A31,Race_2024_Seasonal!A:X,12,FALSE),0)</f>
        <v>0</v>
      </c>
      <c r="J31" s="649">
        <f>IFERROR(VLOOKUP($A31,Race_2024_Seasonal!A:X,13,FALSE),0)</f>
        <v>0</v>
      </c>
      <c r="K31" s="649">
        <f>IFERROR(VLOOKUP($A31,Race_2024_Seasonal!A:X,14,FALSE),0)</f>
        <v>0</v>
      </c>
      <c r="L31" s="649">
        <f>IFERROR(VLOOKUP($A31,Race_2024_Seasonal!A:X,15,FALSE),0)</f>
        <v>0</v>
      </c>
      <c r="M31" s="649">
        <f>IFERROR(VLOOKUP($A31,Race_2024_Seasonal!A:X,16,FALSE),0)</f>
        <v>0</v>
      </c>
      <c r="N31" s="649">
        <f>IFERROR(VLOOKUP($A31,Race_2024_Seasonal!A:X,17,FALSE),0)</f>
        <v>0</v>
      </c>
      <c r="O31" s="649">
        <f>IFERROR(VLOOKUP($A31,Race_2024_Seasonal!A:X,18,FALSE),0)</f>
        <v>0</v>
      </c>
      <c r="P31" s="542"/>
      <c r="Q31" s="649">
        <f t="shared" si="0"/>
        <v>0</v>
      </c>
      <c r="R31" s="542"/>
      <c r="S31" s="659">
        <f>Q31-'P&amp;L'!I31</f>
        <v>0</v>
      </c>
    </row>
    <row r="32" spans="1:19" ht="15" x14ac:dyDescent="0.25">
      <c r="A32" s="534" t="s">
        <v>790</v>
      </c>
      <c r="B32" s="534" t="e">
        <f>IFERROR(VLOOKUP(A32,Race_2024_Seasonal!A:C,3,FALSE), VLOOKUP(A32,Race_2024_Seasonal!A:C,3,FALSE))</f>
        <v>#N/A</v>
      </c>
      <c r="C32" s="551" t="s">
        <v>791</v>
      </c>
      <c r="D32" s="649">
        <f>IFERROR(VLOOKUP($A32,Race_2024_Seasonal!A:X,7,FALSE),0)</f>
        <v>0</v>
      </c>
      <c r="E32" s="649">
        <f>IFERROR(VLOOKUP($A32,Race_2024_Seasonal!A:X,8,FALSE),0)</f>
        <v>0</v>
      </c>
      <c r="F32" s="649">
        <f>IFERROR(VLOOKUP($A32,Race_2024_Seasonal!A:X,9,FALSE),0)</f>
        <v>0</v>
      </c>
      <c r="G32" s="649">
        <f>IFERROR(VLOOKUP($A32,Race_2024_Seasonal!A:X,10,FALSE),0)</f>
        <v>0</v>
      </c>
      <c r="H32" s="649">
        <f>IFERROR(VLOOKUP($A32,Race_2024_Seasonal!A:X,11,FALSE),0)</f>
        <v>0</v>
      </c>
      <c r="I32" s="649">
        <f>IFERROR(VLOOKUP($A32,Race_2024_Seasonal!A:X,12,FALSE),0)</f>
        <v>0</v>
      </c>
      <c r="J32" s="649">
        <f>IFERROR(VLOOKUP($A32,Race_2024_Seasonal!A:X,13,FALSE),0)</f>
        <v>0</v>
      </c>
      <c r="K32" s="649">
        <f>IFERROR(VLOOKUP($A32,Race_2024_Seasonal!A:X,14,FALSE),0)</f>
        <v>0</v>
      </c>
      <c r="L32" s="649">
        <f>IFERROR(VLOOKUP($A32,Race_2024_Seasonal!A:X,15,FALSE),0)</f>
        <v>0</v>
      </c>
      <c r="M32" s="649">
        <f>IFERROR(VLOOKUP($A32,Race_2024_Seasonal!A:X,16,FALSE),0)</f>
        <v>0</v>
      </c>
      <c r="N32" s="649">
        <f>IFERROR(VLOOKUP($A32,Race_2024_Seasonal!A:X,17,FALSE),0)</f>
        <v>0</v>
      </c>
      <c r="O32" s="649">
        <f>IFERROR(VLOOKUP($A32,Race_2024_Seasonal!A:X,18,FALSE),0)</f>
        <v>0</v>
      </c>
      <c r="P32" s="542"/>
      <c r="Q32" s="649">
        <f t="shared" si="0"/>
        <v>0</v>
      </c>
      <c r="R32" s="542"/>
      <c r="S32" s="659">
        <f>Q32-'P&amp;L'!I32</f>
        <v>0</v>
      </c>
    </row>
    <row r="33" spans="1:19" ht="15" x14ac:dyDescent="0.25">
      <c r="A33" s="534" t="s">
        <v>792</v>
      </c>
      <c r="B33" s="534" t="str">
        <f>IFERROR(VLOOKUP(A33,Race_2024_Seasonal!A:C,3,FALSE), VLOOKUP(A33,Race_2024_Seasonal!A:C,3,FALSE))</f>
        <v>Var. in manuf. tot</v>
      </c>
      <c r="C33" s="552" t="s">
        <v>793</v>
      </c>
      <c r="D33" s="655">
        <f>IFERROR(VLOOKUP($A33,Race_2024_Seasonal!A:X,7,FALSE),0)</f>
        <v>-6865.7489999999998</v>
      </c>
      <c r="E33" s="655">
        <f>IFERROR(VLOOKUP($A33,Race_2024_Seasonal!A:X,8,FALSE),0)</f>
        <v>-6865.8019999999997</v>
      </c>
      <c r="F33" s="655">
        <f>IFERROR(VLOOKUP($A33,Race_2024_Seasonal!A:X,9,FALSE),0)</f>
        <v>-6681.54</v>
      </c>
      <c r="G33" s="655">
        <f>IFERROR(VLOOKUP($A33,Race_2024_Seasonal!A:X,10,FALSE),0)</f>
        <v>-6865.8019999999997</v>
      </c>
      <c r="H33" s="655">
        <f>IFERROR(VLOOKUP($A33,Race_2024_Seasonal!A:X,11,FALSE),0)</f>
        <v>-7050.2370000000001</v>
      </c>
      <c r="I33" s="655">
        <f>IFERROR(VLOOKUP($A33,Race_2024_Seasonal!A:X,12,FALSE),0)</f>
        <v>-6549.8789999999999</v>
      </c>
      <c r="J33" s="655">
        <f>IFERROR(VLOOKUP($A33,Race_2024_Seasonal!A:X,13,FALSE),0)</f>
        <v>-7111.3450000000003</v>
      </c>
      <c r="K33" s="655">
        <f>IFERROR(VLOOKUP($A33,Race_2024_Seasonal!A:X,14,FALSE),0)</f>
        <v>-6923.8190000000004</v>
      </c>
      <c r="L33" s="655">
        <f>IFERROR(VLOOKUP($A33,Race_2024_Seasonal!A:X,15,FALSE),0)</f>
        <v>-6175.2269999999999</v>
      </c>
      <c r="M33" s="655">
        <f>IFERROR(VLOOKUP($A33,Race_2024_Seasonal!A:X,16,FALSE),0)</f>
        <v>-7110.9809999999998</v>
      </c>
      <c r="N33" s="655">
        <f>IFERROR(VLOOKUP($A33,Race_2024_Seasonal!A:X,17,FALSE),0)</f>
        <v>-6923.6959999999999</v>
      </c>
      <c r="O33" s="655">
        <f>IFERROR(VLOOKUP($A33,Race_2024_Seasonal!A:X,18,FALSE),0)</f>
        <v>-5988.0079999999998</v>
      </c>
      <c r="P33" s="542"/>
      <c r="Q33" s="655">
        <f t="shared" si="0"/>
        <v>-81112.084999999992</v>
      </c>
      <c r="R33" s="542"/>
      <c r="S33" s="659">
        <f>Q33-'P&amp;L'!I33</f>
        <v>0</v>
      </c>
    </row>
    <row r="34" spans="1:19" ht="15" x14ac:dyDescent="0.25">
      <c r="A34" s="534" t="s">
        <v>794</v>
      </c>
      <c r="B34" s="534" t="e">
        <f>IFERROR(VLOOKUP(A34,Race_2024_Seasonal!A:C,3,FALSE), VLOOKUP(A34,Race_2024_Seasonal!A:C,3,FALSE))</f>
        <v>#N/A</v>
      </c>
      <c r="C34" s="553" t="s">
        <v>795</v>
      </c>
      <c r="D34" s="649">
        <f>IFERROR(VLOOKUP($A34,Race_2024_Seasonal!A:X,7,FALSE),0)</f>
        <v>0</v>
      </c>
      <c r="E34" s="649">
        <f>IFERROR(VLOOKUP($A34,Race_2024_Seasonal!A:X,8,FALSE),0)</f>
        <v>0</v>
      </c>
      <c r="F34" s="649">
        <f>IFERROR(VLOOKUP($A34,Race_2024_Seasonal!A:X,9,FALSE),0)</f>
        <v>0</v>
      </c>
      <c r="G34" s="649">
        <f>IFERROR(VLOOKUP($A34,Race_2024_Seasonal!A:X,10,FALSE),0)</f>
        <v>0</v>
      </c>
      <c r="H34" s="649">
        <f>IFERROR(VLOOKUP($A34,Race_2024_Seasonal!A:X,11,FALSE),0)</f>
        <v>0</v>
      </c>
      <c r="I34" s="649">
        <f>IFERROR(VLOOKUP($A34,Race_2024_Seasonal!A:X,12,FALSE),0)</f>
        <v>0</v>
      </c>
      <c r="J34" s="649">
        <f>IFERROR(VLOOKUP($A34,Race_2024_Seasonal!A:X,13,FALSE),0)</f>
        <v>0</v>
      </c>
      <c r="K34" s="649">
        <f>IFERROR(VLOOKUP($A34,Race_2024_Seasonal!A:X,14,FALSE),0)</f>
        <v>0</v>
      </c>
      <c r="L34" s="649">
        <f>IFERROR(VLOOKUP($A34,Race_2024_Seasonal!A:X,15,FALSE),0)</f>
        <v>0</v>
      </c>
      <c r="M34" s="649">
        <f>IFERROR(VLOOKUP($A34,Race_2024_Seasonal!A:X,16,FALSE),0)</f>
        <v>0</v>
      </c>
      <c r="N34" s="649">
        <f>IFERROR(VLOOKUP($A34,Race_2024_Seasonal!A:X,17,FALSE),0)</f>
        <v>0</v>
      </c>
      <c r="O34" s="649">
        <f>IFERROR(VLOOKUP($A34,Race_2024_Seasonal!A:X,18,FALSE),0)</f>
        <v>0</v>
      </c>
      <c r="P34" s="542"/>
      <c r="Q34" s="649">
        <f t="shared" si="0"/>
        <v>0</v>
      </c>
      <c r="R34" s="542"/>
      <c r="S34" s="659">
        <f>Q34-'P&amp;L'!I34</f>
        <v>0</v>
      </c>
    </row>
    <row r="35" spans="1:19" ht="15" x14ac:dyDescent="0.25">
      <c r="A35" s="534" t="s">
        <v>796</v>
      </c>
      <c r="B35" s="534" t="e">
        <f>IFERROR(VLOOKUP(A35,Race_2024_Seasonal!A:C,3,FALSE), VLOOKUP(A35,Race_2024_Seasonal!A:C,3,FALSE))</f>
        <v>#N/A</v>
      </c>
      <c r="C35" s="553" t="s">
        <v>797</v>
      </c>
      <c r="D35" s="649">
        <f>IFERROR(VLOOKUP($A35,Race_2024_Seasonal!A:X,7,FALSE),0)</f>
        <v>0</v>
      </c>
      <c r="E35" s="649">
        <f>IFERROR(VLOOKUP($A35,Race_2024_Seasonal!A:X,8,FALSE),0)</f>
        <v>0</v>
      </c>
      <c r="F35" s="649">
        <f>IFERROR(VLOOKUP($A35,Race_2024_Seasonal!A:X,9,FALSE),0)</f>
        <v>0</v>
      </c>
      <c r="G35" s="649">
        <f>IFERROR(VLOOKUP($A35,Race_2024_Seasonal!A:X,10,FALSE),0)</f>
        <v>0</v>
      </c>
      <c r="H35" s="649">
        <f>IFERROR(VLOOKUP($A35,Race_2024_Seasonal!A:X,11,FALSE),0)</f>
        <v>0</v>
      </c>
      <c r="I35" s="649">
        <f>IFERROR(VLOOKUP($A35,Race_2024_Seasonal!A:X,12,FALSE),0)</f>
        <v>0</v>
      </c>
      <c r="J35" s="649">
        <f>IFERROR(VLOOKUP($A35,Race_2024_Seasonal!A:X,13,FALSE),0)</f>
        <v>0</v>
      </c>
      <c r="K35" s="649">
        <f>IFERROR(VLOOKUP($A35,Race_2024_Seasonal!A:X,14,FALSE),0)</f>
        <v>0</v>
      </c>
      <c r="L35" s="649">
        <f>IFERROR(VLOOKUP($A35,Race_2024_Seasonal!A:X,15,FALSE),0)</f>
        <v>0</v>
      </c>
      <c r="M35" s="649">
        <f>IFERROR(VLOOKUP($A35,Race_2024_Seasonal!A:X,16,FALSE),0)</f>
        <v>0</v>
      </c>
      <c r="N35" s="649">
        <f>IFERROR(VLOOKUP($A35,Race_2024_Seasonal!A:X,17,FALSE),0)</f>
        <v>0</v>
      </c>
      <c r="O35" s="649">
        <f>IFERROR(VLOOKUP($A35,Race_2024_Seasonal!A:X,18,FALSE),0)</f>
        <v>0</v>
      </c>
      <c r="P35" s="542"/>
      <c r="Q35" s="649">
        <f t="shared" si="0"/>
        <v>0</v>
      </c>
      <c r="R35" s="542"/>
      <c r="S35" s="659">
        <f>Q35-'P&amp;L'!I35</f>
        <v>0</v>
      </c>
    </row>
    <row r="36" spans="1:19" ht="15" x14ac:dyDescent="0.25">
      <c r="A36" s="534" t="s">
        <v>798</v>
      </c>
      <c r="B36" s="534" t="e">
        <f>IFERROR(VLOOKUP(A36,Race_2024_Seasonal!A:C,3,FALSE), VLOOKUP(A36,Race_2024_Seasonal!A:C,3,FALSE))</f>
        <v>#N/A</v>
      </c>
      <c r="C36" s="553" t="s">
        <v>799</v>
      </c>
      <c r="D36" s="649">
        <f>IFERROR(VLOOKUP($A36,Race_2024_Seasonal!A:X,7,FALSE),0)</f>
        <v>0</v>
      </c>
      <c r="E36" s="649">
        <f>IFERROR(VLOOKUP($A36,Race_2024_Seasonal!A:X,8,FALSE),0)</f>
        <v>0</v>
      </c>
      <c r="F36" s="649">
        <f>IFERROR(VLOOKUP($A36,Race_2024_Seasonal!A:X,9,FALSE),0)</f>
        <v>0</v>
      </c>
      <c r="G36" s="649">
        <f>IFERROR(VLOOKUP($A36,Race_2024_Seasonal!A:X,10,FALSE),0)</f>
        <v>0</v>
      </c>
      <c r="H36" s="649">
        <f>IFERROR(VLOOKUP($A36,Race_2024_Seasonal!A:X,11,FALSE),0)</f>
        <v>0</v>
      </c>
      <c r="I36" s="649">
        <f>IFERROR(VLOOKUP($A36,Race_2024_Seasonal!A:X,12,FALSE),0)</f>
        <v>0</v>
      </c>
      <c r="J36" s="649">
        <f>IFERROR(VLOOKUP($A36,Race_2024_Seasonal!A:X,13,FALSE),0)</f>
        <v>0</v>
      </c>
      <c r="K36" s="649">
        <f>IFERROR(VLOOKUP($A36,Race_2024_Seasonal!A:X,14,FALSE),0)</f>
        <v>0</v>
      </c>
      <c r="L36" s="649">
        <f>IFERROR(VLOOKUP($A36,Race_2024_Seasonal!A:X,15,FALSE),0)</f>
        <v>0</v>
      </c>
      <c r="M36" s="649">
        <f>IFERROR(VLOOKUP($A36,Race_2024_Seasonal!A:X,16,FALSE),0)</f>
        <v>0</v>
      </c>
      <c r="N36" s="649">
        <f>IFERROR(VLOOKUP($A36,Race_2024_Seasonal!A:X,17,FALSE),0)</f>
        <v>0</v>
      </c>
      <c r="O36" s="649">
        <f>IFERROR(VLOOKUP($A36,Race_2024_Seasonal!A:X,18,FALSE),0)</f>
        <v>0</v>
      </c>
      <c r="P36" s="542"/>
      <c r="Q36" s="649">
        <f t="shared" si="0"/>
        <v>0</v>
      </c>
      <c r="R36" s="542"/>
      <c r="S36" s="659">
        <f>Q36-'P&amp;L'!I36</f>
        <v>0</v>
      </c>
    </row>
    <row r="37" spans="1:19" ht="15" x14ac:dyDescent="0.25">
      <c r="A37" s="534" t="s">
        <v>800</v>
      </c>
      <c r="B37" s="534" t="e">
        <f>IFERROR(VLOOKUP(A37,Race_2024_Seasonal!A:C,3,FALSE), VLOOKUP(A37,Race_2024_Seasonal!A:C,3,FALSE))</f>
        <v>#N/A</v>
      </c>
      <c r="C37" s="553" t="s">
        <v>801</v>
      </c>
      <c r="D37" s="649">
        <f>IFERROR(VLOOKUP($A37,Race_2024_Seasonal!A:X,7,FALSE),0)</f>
        <v>0</v>
      </c>
      <c r="E37" s="649">
        <f>IFERROR(VLOOKUP($A37,Race_2024_Seasonal!A:X,8,FALSE),0)</f>
        <v>0</v>
      </c>
      <c r="F37" s="649">
        <f>IFERROR(VLOOKUP($A37,Race_2024_Seasonal!A:X,9,FALSE),0)</f>
        <v>0</v>
      </c>
      <c r="G37" s="649">
        <f>IFERROR(VLOOKUP($A37,Race_2024_Seasonal!A:X,10,FALSE),0)</f>
        <v>0</v>
      </c>
      <c r="H37" s="649">
        <f>IFERROR(VLOOKUP($A37,Race_2024_Seasonal!A:X,11,FALSE),0)</f>
        <v>0</v>
      </c>
      <c r="I37" s="649">
        <f>IFERROR(VLOOKUP($A37,Race_2024_Seasonal!A:X,12,FALSE),0)</f>
        <v>0</v>
      </c>
      <c r="J37" s="649">
        <f>IFERROR(VLOOKUP($A37,Race_2024_Seasonal!A:X,13,FALSE),0)</f>
        <v>0</v>
      </c>
      <c r="K37" s="649">
        <f>IFERROR(VLOOKUP($A37,Race_2024_Seasonal!A:X,14,FALSE),0)</f>
        <v>0</v>
      </c>
      <c r="L37" s="649">
        <f>IFERROR(VLOOKUP($A37,Race_2024_Seasonal!A:X,15,FALSE),0)</f>
        <v>0</v>
      </c>
      <c r="M37" s="649">
        <f>IFERROR(VLOOKUP($A37,Race_2024_Seasonal!A:X,16,FALSE),0)</f>
        <v>0</v>
      </c>
      <c r="N37" s="649">
        <f>IFERROR(VLOOKUP($A37,Race_2024_Seasonal!A:X,17,FALSE),0)</f>
        <v>0</v>
      </c>
      <c r="O37" s="649">
        <f>IFERROR(VLOOKUP($A37,Race_2024_Seasonal!A:X,18,FALSE),0)</f>
        <v>0</v>
      </c>
      <c r="P37" s="542"/>
      <c r="Q37" s="649">
        <f t="shared" si="0"/>
        <v>0</v>
      </c>
      <c r="R37" s="542"/>
      <c r="S37" s="659">
        <f>Q37-'P&amp;L'!I37</f>
        <v>0</v>
      </c>
    </row>
    <row r="38" spans="1:19" ht="15" x14ac:dyDescent="0.25">
      <c r="A38" s="534" t="s">
        <v>802</v>
      </c>
      <c r="B38" s="534" t="e">
        <f>IFERROR(VLOOKUP(A38,Race_2024_Seasonal!A:C,3,FALSE), VLOOKUP(A38,Race_2024_Seasonal!A:C,3,FALSE))</f>
        <v>#N/A</v>
      </c>
      <c r="C38" s="553" t="s">
        <v>803</v>
      </c>
      <c r="D38" s="649">
        <f>IFERROR(VLOOKUP($A38,Race_2024_Seasonal!A:X,7,FALSE),0)</f>
        <v>0</v>
      </c>
      <c r="E38" s="649">
        <f>IFERROR(VLOOKUP($A38,Race_2024_Seasonal!A:X,8,FALSE),0)</f>
        <v>0</v>
      </c>
      <c r="F38" s="649">
        <f>IFERROR(VLOOKUP($A38,Race_2024_Seasonal!A:X,9,FALSE),0)</f>
        <v>0</v>
      </c>
      <c r="G38" s="649">
        <f>IFERROR(VLOOKUP($A38,Race_2024_Seasonal!A:X,10,FALSE),0)</f>
        <v>0</v>
      </c>
      <c r="H38" s="649">
        <f>IFERROR(VLOOKUP($A38,Race_2024_Seasonal!A:X,11,FALSE),0)</f>
        <v>0</v>
      </c>
      <c r="I38" s="649">
        <f>IFERROR(VLOOKUP($A38,Race_2024_Seasonal!A:X,12,FALSE),0)</f>
        <v>0</v>
      </c>
      <c r="J38" s="649">
        <f>IFERROR(VLOOKUP($A38,Race_2024_Seasonal!A:X,13,FALSE),0)</f>
        <v>0</v>
      </c>
      <c r="K38" s="649">
        <f>IFERROR(VLOOKUP($A38,Race_2024_Seasonal!A:X,14,FALSE),0)</f>
        <v>0</v>
      </c>
      <c r="L38" s="649">
        <f>IFERROR(VLOOKUP($A38,Race_2024_Seasonal!A:X,15,FALSE),0)</f>
        <v>0</v>
      </c>
      <c r="M38" s="649">
        <f>IFERROR(VLOOKUP($A38,Race_2024_Seasonal!A:X,16,FALSE),0)</f>
        <v>0</v>
      </c>
      <c r="N38" s="649">
        <f>IFERROR(VLOOKUP($A38,Race_2024_Seasonal!A:X,17,FALSE),0)</f>
        <v>0</v>
      </c>
      <c r="O38" s="649">
        <f>IFERROR(VLOOKUP($A38,Race_2024_Seasonal!A:X,18,FALSE),0)</f>
        <v>0</v>
      </c>
      <c r="P38" s="542"/>
      <c r="Q38" s="649">
        <f t="shared" si="0"/>
        <v>0</v>
      </c>
      <c r="R38" s="542"/>
      <c r="S38" s="659">
        <f>Q38-'P&amp;L'!I38</f>
        <v>0</v>
      </c>
    </row>
    <row r="39" spans="1:19" ht="15" x14ac:dyDescent="0.25">
      <c r="A39" s="534" t="s">
        <v>804</v>
      </c>
      <c r="B39" s="534" t="e">
        <f>IFERROR(VLOOKUP(A39,Race_2024_Seasonal!A:C,3,FALSE), VLOOKUP(A39,Race_2024_Seasonal!A:C,3,FALSE))</f>
        <v>#N/A</v>
      </c>
      <c r="C39" s="553" t="s">
        <v>805</v>
      </c>
      <c r="D39" s="649">
        <f>IFERROR(VLOOKUP($A39,Race_2024_Seasonal!A:X,7,FALSE),0)</f>
        <v>0</v>
      </c>
      <c r="E39" s="649">
        <f>IFERROR(VLOOKUP($A39,Race_2024_Seasonal!A:X,8,FALSE),0)</f>
        <v>0</v>
      </c>
      <c r="F39" s="649">
        <f>IFERROR(VLOOKUP($A39,Race_2024_Seasonal!A:X,9,FALSE),0)</f>
        <v>0</v>
      </c>
      <c r="G39" s="649">
        <f>IFERROR(VLOOKUP($A39,Race_2024_Seasonal!A:X,10,FALSE),0)</f>
        <v>0</v>
      </c>
      <c r="H39" s="649">
        <f>IFERROR(VLOOKUP($A39,Race_2024_Seasonal!A:X,11,FALSE),0)</f>
        <v>0</v>
      </c>
      <c r="I39" s="649">
        <f>IFERROR(VLOOKUP($A39,Race_2024_Seasonal!A:X,12,FALSE),0)</f>
        <v>0</v>
      </c>
      <c r="J39" s="649">
        <f>IFERROR(VLOOKUP($A39,Race_2024_Seasonal!A:X,13,FALSE),0)</f>
        <v>0</v>
      </c>
      <c r="K39" s="649">
        <f>IFERROR(VLOOKUP($A39,Race_2024_Seasonal!A:X,14,FALSE),0)</f>
        <v>0</v>
      </c>
      <c r="L39" s="649">
        <f>IFERROR(VLOOKUP($A39,Race_2024_Seasonal!A:X,15,FALSE),0)</f>
        <v>0</v>
      </c>
      <c r="M39" s="649">
        <f>IFERROR(VLOOKUP($A39,Race_2024_Seasonal!A:X,16,FALSE),0)</f>
        <v>0</v>
      </c>
      <c r="N39" s="649">
        <f>IFERROR(VLOOKUP($A39,Race_2024_Seasonal!A:X,17,FALSE),0)</f>
        <v>0</v>
      </c>
      <c r="O39" s="649">
        <f>IFERROR(VLOOKUP($A39,Race_2024_Seasonal!A:X,18,FALSE),0)</f>
        <v>0</v>
      </c>
      <c r="P39" s="542"/>
      <c r="Q39" s="649">
        <f t="shared" si="0"/>
        <v>0</v>
      </c>
      <c r="R39" s="542"/>
      <c r="S39" s="659">
        <f>Q39-'P&amp;L'!I39</f>
        <v>0</v>
      </c>
    </row>
    <row r="40" spans="1:19" ht="15" x14ac:dyDescent="0.25">
      <c r="A40" s="534" t="s">
        <v>806</v>
      </c>
      <c r="B40" s="534" t="e">
        <f>IFERROR(VLOOKUP(A40,Race_2024_Seasonal!A:C,3,FALSE), VLOOKUP(A40,Race_2024_Seasonal!A:C,3,FALSE))</f>
        <v>#N/A</v>
      </c>
      <c r="C40" s="553" t="s">
        <v>807</v>
      </c>
      <c r="D40" s="649">
        <f>IFERROR(VLOOKUP($A40,Race_2024_Seasonal!A:X,7,FALSE),0)</f>
        <v>0</v>
      </c>
      <c r="E40" s="649">
        <f>IFERROR(VLOOKUP($A40,Race_2024_Seasonal!A:X,8,FALSE),0)</f>
        <v>0</v>
      </c>
      <c r="F40" s="649">
        <f>IFERROR(VLOOKUP($A40,Race_2024_Seasonal!A:X,9,FALSE),0)</f>
        <v>0</v>
      </c>
      <c r="G40" s="649">
        <f>IFERROR(VLOOKUP($A40,Race_2024_Seasonal!A:X,10,FALSE),0)</f>
        <v>0</v>
      </c>
      <c r="H40" s="649">
        <f>IFERROR(VLOOKUP($A40,Race_2024_Seasonal!A:X,11,FALSE),0)</f>
        <v>0</v>
      </c>
      <c r="I40" s="649">
        <f>IFERROR(VLOOKUP($A40,Race_2024_Seasonal!A:X,12,FALSE),0)</f>
        <v>0</v>
      </c>
      <c r="J40" s="649">
        <f>IFERROR(VLOOKUP($A40,Race_2024_Seasonal!A:X,13,FALSE),0)</f>
        <v>0</v>
      </c>
      <c r="K40" s="649">
        <f>IFERROR(VLOOKUP($A40,Race_2024_Seasonal!A:X,14,FALSE),0)</f>
        <v>0</v>
      </c>
      <c r="L40" s="649">
        <f>IFERROR(VLOOKUP($A40,Race_2024_Seasonal!A:X,15,FALSE),0)</f>
        <v>0</v>
      </c>
      <c r="M40" s="649">
        <f>IFERROR(VLOOKUP($A40,Race_2024_Seasonal!A:X,16,FALSE),0)</f>
        <v>0</v>
      </c>
      <c r="N40" s="649">
        <f>IFERROR(VLOOKUP($A40,Race_2024_Seasonal!A:X,17,FALSE),0)</f>
        <v>0</v>
      </c>
      <c r="O40" s="649">
        <f>IFERROR(VLOOKUP($A40,Race_2024_Seasonal!A:X,18,FALSE),0)</f>
        <v>0</v>
      </c>
      <c r="P40" s="542"/>
      <c r="Q40" s="649">
        <f t="shared" si="0"/>
        <v>0</v>
      </c>
      <c r="R40" s="542"/>
      <c r="S40" s="659">
        <f>Q40-'P&amp;L'!I40</f>
        <v>0</v>
      </c>
    </row>
    <row r="41" spans="1:19" ht="15" x14ac:dyDescent="0.25">
      <c r="A41" s="534" t="s">
        <v>808</v>
      </c>
      <c r="B41" s="534" t="e">
        <f>IFERROR(VLOOKUP(A41,Race_2024_Seasonal!A:C,3,FALSE), VLOOKUP(A41,Race_2024_Seasonal!A:C,3,FALSE))</f>
        <v>#N/A</v>
      </c>
      <c r="C41" s="553" t="s">
        <v>809</v>
      </c>
      <c r="D41" s="610">
        <f>IFERROR(VLOOKUP($A41,Race_2024_Seasonal!A:X,7,FALSE),0)</f>
        <v>0</v>
      </c>
      <c r="E41" s="610">
        <f>IFERROR(VLOOKUP($A41,Race_2024_Seasonal!A:X,8,FALSE),0)</f>
        <v>0</v>
      </c>
      <c r="F41" s="610">
        <f>IFERROR(VLOOKUP($A41,Race_2024_Seasonal!A:X,9,FALSE),0)</f>
        <v>0</v>
      </c>
      <c r="G41" s="610">
        <f>IFERROR(VLOOKUP($A41,Race_2024_Seasonal!A:X,10,FALSE),0)</f>
        <v>0</v>
      </c>
      <c r="H41" s="610">
        <f>IFERROR(VLOOKUP($A41,Race_2024_Seasonal!A:X,11,FALSE),0)</f>
        <v>0</v>
      </c>
      <c r="I41" s="610">
        <f>IFERROR(VLOOKUP($A41,Race_2024_Seasonal!A:X,12,FALSE),0)</f>
        <v>0</v>
      </c>
      <c r="J41" s="610">
        <f>IFERROR(VLOOKUP($A41,Race_2024_Seasonal!A:X,13,FALSE),0)</f>
        <v>0</v>
      </c>
      <c r="K41" s="610">
        <f>IFERROR(VLOOKUP($A41,Race_2024_Seasonal!A:X,14,FALSE),0)</f>
        <v>0</v>
      </c>
      <c r="L41" s="610">
        <f>IFERROR(VLOOKUP($A41,Race_2024_Seasonal!A:X,15,FALSE),0)</f>
        <v>0</v>
      </c>
      <c r="M41" s="610">
        <f>IFERROR(VLOOKUP($A41,Race_2024_Seasonal!A:X,16,FALSE),0)</f>
        <v>0</v>
      </c>
      <c r="N41" s="610">
        <f>IFERROR(VLOOKUP($A41,Race_2024_Seasonal!A:X,17,FALSE),0)</f>
        <v>0</v>
      </c>
      <c r="O41" s="610">
        <f>IFERROR(VLOOKUP($A41,Race_2024_Seasonal!A:X,18,FALSE),0)</f>
        <v>0</v>
      </c>
      <c r="P41" s="542"/>
      <c r="Q41" s="610">
        <f t="shared" si="0"/>
        <v>0</v>
      </c>
      <c r="R41" s="542"/>
      <c r="S41" s="659">
        <f>Q41-'P&amp;L'!I41</f>
        <v>0</v>
      </c>
    </row>
    <row r="42" spans="1:19" ht="15" x14ac:dyDescent="0.25">
      <c r="A42" s="534" t="s">
        <v>810</v>
      </c>
      <c r="B42" s="534" t="e">
        <f>IFERROR(VLOOKUP(A42,Race_2024_Seasonal!A:C,3,FALSE), VLOOKUP(A42,Race_2024_Seasonal!A:C,3,FALSE))</f>
        <v>#N/A</v>
      </c>
      <c r="C42" s="553" t="s">
        <v>811</v>
      </c>
      <c r="D42" s="649">
        <f>IFERROR(VLOOKUP($A42,Race_2024_Seasonal!A:X,7,FALSE),0)</f>
        <v>0</v>
      </c>
      <c r="E42" s="649">
        <f>IFERROR(VLOOKUP($A42,Race_2024_Seasonal!A:X,8,FALSE),0)</f>
        <v>0</v>
      </c>
      <c r="F42" s="649">
        <f>IFERROR(VLOOKUP($A42,Race_2024_Seasonal!A:X,9,FALSE),0)</f>
        <v>0</v>
      </c>
      <c r="G42" s="649">
        <f>IFERROR(VLOOKUP($A42,Race_2024_Seasonal!A:X,10,FALSE),0)</f>
        <v>0</v>
      </c>
      <c r="H42" s="649">
        <f>IFERROR(VLOOKUP($A42,Race_2024_Seasonal!A:X,11,FALSE),0)</f>
        <v>0</v>
      </c>
      <c r="I42" s="649">
        <f>IFERROR(VLOOKUP($A42,Race_2024_Seasonal!A:X,12,FALSE),0)</f>
        <v>0</v>
      </c>
      <c r="J42" s="649">
        <f>IFERROR(VLOOKUP($A42,Race_2024_Seasonal!A:X,13,FALSE),0)</f>
        <v>0</v>
      </c>
      <c r="K42" s="649">
        <f>IFERROR(VLOOKUP($A42,Race_2024_Seasonal!A:X,14,FALSE),0)</f>
        <v>0</v>
      </c>
      <c r="L42" s="649">
        <f>IFERROR(VLOOKUP($A42,Race_2024_Seasonal!A:X,15,FALSE),0)</f>
        <v>0</v>
      </c>
      <c r="M42" s="649">
        <f>IFERROR(VLOOKUP($A42,Race_2024_Seasonal!A:X,16,FALSE),0)</f>
        <v>0</v>
      </c>
      <c r="N42" s="649">
        <f>IFERROR(VLOOKUP($A42,Race_2024_Seasonal!A:X,17,FALSE),0)</f>
        <v>0</v>
      </c>
      <c r="O42" s="649">
        <f>IFERROR(VLOOKUP($A42,Race_2024_Seasonal!A:X,18,FALSE),0)</f>
        <v>0</v>
      </c>
      <c r="P42" s="542"/>
      <c r="Q42" s="649">
        <f t="shared" si="0"/>
        <v>0</v>
      </c>
      <c r="R42" s="542"/>
      <c r="S42" s="659">
        <f>Q42-'P&amp;L'!I42</f>
        <v>0</v>
      </c>
    </row>
    <row r="43" spans="1:19" ht="15" x14ac:dyDescent="0.25">
      <c r="A43" s="534" t="s">
        <v>812</v>
      </c>
      <c r="B43" s="534" t="e">
        <f>IFERROR(VLOOKUP(A43,Race_2024_Seasonal!A:C,3,FALSE), VLOOKUP(A43,Race_2024_Seasonal!A:C,3,FALSE))</f>
        <v>#N/A</v>
      </c>
      <c r="C43" s="553" t="s">
        <v>813</v>
      </c>
      <c r="D43" s="649">
        <f>IFERROR(VLOOKUP($A43,Race_2024_Seasonal!A:X,7,FALSE),0)</f>
        <v>0</v>
      </c>
      <c r="E43" s="649">
        <f>IFERROR(VLOOKUP($A43,Race_2024_Seasonal!A:X,8,FALSE),0)</f>
        <v>0</v>
      </c>
      <c r="F43" s="649">
        <f>IFERROR(VLOOKUP($A43,Race_2024_Seasonal!A:X,9,FALSE),0)</f>
        <v>0</v>
      </c>
      <c r="G43" s="649">
        <f>IFERROR(VLOOKUP($A43,Race_2024_Seasonal!A:X,10,FALSE),0)</f>
        <v>0</v>
      </c>
      <c r="H43" s="649">
        <f>IFERROR(VLOOKUP($A43,Race_2024_Seasonal!A:X,11,FALSE),0)</f>
        <v>0</v>
      </c>
      <c r="I43" s="649">
        <f>IFERROR(VLOOKUP($A43,Race_2024_Seasonal!A:X,12,FALSE),0)</f>
        <v>0</v>
      </c>
      <c r="J43" s="649">
        <f>IFERROR(VLOOKUP($A43,Race_2024_Seasonal!A:X,13,FALSE),0)</f>
        <v>0</v>
      </c>
      <c r="K43" s="649">
        <f>IFERROR(VLOOKUP($A43,Race_2024_Seasonal!A:X,14,FALSE),0)</f>
        <v>0</v>
      </c>
      <c r="L43" s="649">
        <f>IFERROR(VLOOKUP($A43,Race_2024_Seasonal!A:X,15,FALSE),0)</f>
        <v>0</v>
      </c>
      <c r="M43" s="649">
        <f>IFERROR(VLOOKUP($A43,Race_2024_Seasonal!A:X,16,FALSE),0)</f>
        <v>0</v>
      </c>
      <c r="N43" s="649">
        <f>IFERROR(VLOOKUP($A43,Race_2024_Seasonal!A:X,17,FALSE),0)</f>
        <v>0</v>
      </c>
      <c r="O43" s="649">
        <f>IFERROR(VLOOKUP($A43,Race_2024_Seasonal!A:X,18,FALSE),0)</f>
        <v>0</v>
      </c>
      <c r="P43" s="542"/>
      <c r="Q43" s="649">
        <f t="shared" si="0"/>
        <v>0</v>
      </c>
      <c r="R43" s="542"/>
      <c r="S43" s="659">
        <f>Q43-'P&amp;L'!I43</f>
        <v>0</v>
      </c>
    </row>
    <row r="44" spans="1:19" ht="15" x14ac:dyDescent="0.25">
      <c r="A44" s="534" t="s">
        <v>814</v>
      </c>
      <c r="B44" s="534" t="str">
        <f>IFERROR(VLOOKUP(A44,Race_2024_Seasonal!A:C,3,FALSE), VLOOKUP(A44,Race_2024_Seasonal!A:C,3,FALSE))</f>
        <v>Var.rew/spoil/scrap</v>
      </c>
      <c r="C44" s="553" t="s">
        <v>300</v>
      </c>
      <c r="D44" s="649">
        <f>IFERROR(VLOOKUP($A44,Race_2024_Seasonal!A:X,7,FALSE),0)</f>
        <v>-6865.7489999999998</v>
      </c>
      <c r="E44" s="649">
        <f>IFERROR(VLOOKUP($A44,Race_2024_Seasonal!A:X,8,FALSE),0)</f>
        <v>-6865.8019999999997</v>
      </c>
      <c r="F44" s="649">
        <f>IFERROR(VLOOKUP($A44,Race_2024_Seasonal!A:X,9,FALSE),0)</f>
        <v>-6681.54</v>
      </c>
      <c r="G44" s="649">
        <f>IFERROR(VLOOKUP($A44,Race_2024_Seasonal!A:X,10,FALSE),0)</f>
        <v>-6865.8019999999997</v>
      </c>
      <c r="H44" s="649">
        <f>IFERROR(VLOOKUP($A44,Race_2024_Seasonal!A:X,11,FALSE),0)</f>
        <v>-7050.2370000000001</v>
      </c>
      <c r="I44" s="649">
        <f>IFERROR(VLOOKUP($A44,Race_2024_Seasonal!A:X,12,FALSE),0)</f>
        <v>-6549.8789999999999</v>
      </c>
      <c r="J44" s="649">
        <f>IFERROR(VLOOKUP($A44,Race_2024_Seasonal!A:X,13,FALSE),0)</f>
        <v>-7111.3450000000003</v>
      </c>
      <c r="K44" s="649">
        <f>IFERROR(VLOOKUP($A44,Race_2024_Seasonal!A:X,14,FALSE),0)</f>
        <v>-6923.8190000000004</v>
      </c>
      <c r="L44" s="649">
        <f>IFERROR(VLOOKUP($A44,Race_2024_Seasonal!A:X,15,FALSE),0)</f>
        <v>-6175.2269999999999</v>
      </c>
      <c r="M44" s="649">
        <f>IFERROR(VLOOKUP($A44,Race_2024_Seasonal!A:X,16,FALSE),0)</f>
        <v>-7110.9809999999998</v>
      </c>
      <c r="N44" s="649">
        <f>IFERROR(VLOOKUP($A44,Race_2024_Seasonal!A:X,17,FALSE),0)</f>
        <v>-6923.6959999999999</v>
      </c>
      <c r="O44" s="649">
        <f>IFERROR(VLOOKUP($A44,Race_2024_Seasonal!A:X,18,FALSE),0)</f>
        <v>-5988.0079999999998</v>
      </c>
      <c r="P44" s="542"/>
      <c r="Q44" s="649">
        <f t="shared" si="0"/>
        <v>-81112.084999999992</v>
      </c>
      <c r="R44" s="542"/>
      <c r="S44" s="659">
        <f>Q44-'P&amp;L'!I44</f>
        <v>0</v>
      </c>
    </row>
    <row r="45" spans="1:19" ht="15" x14ac:dyDescent="0.25">
      <c r="A45" s="534" t="s">
        <v>815</v>
      </c>
      <c r="B45" s="534" t="e">
        <f>IFERROR(VLOOKUP(A45,Race_2024_Seasonal!A:C,3,FALSE), VLOOKUP(A45,Race_2024_Seasonal!A:C,3,FALSE))</f>
        <v>#N/A</v>
      </c>
      <c r="C45" s="553" t="s">
        <v>816</v>
      </c>
      <c r="D45" s="649">
        <f>IFERROR(VLOOKUP($A45,Race_2024_Seasonal!A:X,7,FALSE),0)</f>
        <v>0</v>
      </c>
      <c r="E45" s="649">
        <f>IFERROR(VLOOKUP($A45,Race_2024_Seasonal!A:X,8,FALSE),0)</f>
        <v>0</v>
      </c>
      <c r="F45" s="649">
        <f>IFERROR(VLOOKUP($A45,Race_2024_Seasonal!A:X,9,FALSE),0)</f>
        <v>0</v>
      </c>
      <c r="G45" s="649">
        <f>IFERROR(VLOOKUP($A45,Race_2024_Seasonal!A:X,10,FALSE),0)</f>
        <v>0</v>
      </c>
      <c r="H45" s="649">
        <f>IFERROR(VLOOKUP($A45,Race_2024_Seasonal!A:X,11,FALSE),0)</f>
        <v>0</v>
      </c>
      <c r="I45" s="649">
        <f>IFERROR(VLOOKUP($A45,Race_2024_Seasonal!A:X,12,FALSE),0)</f>
        <v>0</v>
      </c>
      <c r="J45" s="649">
        <f>IFERROR(VLOOKUP($A45,Race_2024_Seasonal!A:X,13,FALSE),0)</f>
        <v>0</v>
      </c>
      <c r="K45" s="649">
        <f>IFERROR(VLOOKUP($A45,Race_2024_Seasonal!A:X,14,FALSE),0)</f>
        <v>0</v>
      </c>
      <c r="L45" s="649">
        <f>IFERROR(VLOOKUP($A45,Race_2024_Seasonal!A:X,15,FALSE),0)</f>
        <v>0</v>
      </c>
      <c r="M45" s="649">
        <f>IFERROR(VLOOKUP($A45,Race_2024_Seasonal!A:X,16,FALSE),0)</f>
        <v>0</v>
      </c>
      <c r="N45" s="649">
        <f>IFERROR(VLOOKUP($A45,Race_2024_Seasonal!A:X,17,FALSE),0)</f>
        <v>0</v>
      </c>
      <c r="O45" s="649">
        <f>IFERROR(VLOOKUP($A45,Race_2024_Seasonal!A:X,18,FALSE),0)</f>
        <v>0</v>
      </c>
      <c r="P45" s="542"/>
      <c r="Q45" s="649">
        <f t="shared" si="0"/>
        <v>0</v>
      </c>
      <c r="R45" s="542"/>
      <c r="S45" s="659">
        <f>Q45-'P&amp;L'!I45</f>
        <v>0</v>
      </c>
    </row>
    <row r="46" spans="1:19" ht="15" x14ac:dyDescent="0.25">
      <c r="A46" s="534" t="s">
        <v>817</v>
      </c>
      <c r="B46" s="534" t="e">
        <f>IFERROR(VLOOKUP(A46,Race_2024_Seasonal!A:C,3,FALSE), VLOOKUP(A46,Race_2024_Seasonal!A:C,3,FALSE))</f>
        <v>#N/A</v>
      </c>
      <c r="C46" s="553" t="s">
        <v>818</v>
      </c>
      <c r="D46" s="648">
        <f>IFERROR(VLOOKUP($A46,Race_2024_Seasonal!A:X,7,FALSE),0)</f>
        <v>0</v>
      </c>
      <c r="E46" s="648">
        <f>IFERROR(VLOOKUP($A46,Race_2024_Seasonal!A:X,8,FALSE),0)</f>
        <v>0</v>
      </c>
      <c r="F46" s="648">
        <f>IFERROR(VLOOKUP($A46,Race_2024_Seasonal!A:X,9,FALSE),0)</f>
        <v>0</v>
      </c>
      <c r="G46" s="648">
        <f>IFERROR(VLOOKUP($A46,Race_2024_Seasonal!A:X,10,FALSE),0)</f>
        <v>0</v>
      </c>
      <c r="H46" s="648">
        <f>IFERROR(VLOOKUP($A46,Race_2024_Seasonal!A:X,11,FALSE),0)</f>
        <v>0</v>
      </c>
      <c r="I46" s="648">
        <f>IFERROR(VLOOKUP($A46,Race_2024_Seasonal!A:X,12,FALSE),0)</f>
        <v>0</v>
      </c>
      <c r="J46" s="648">
        <f>IFERROR(VLOOKUP($A46,Race_2024_Seasonal!A:X,13,FALSE),0)</f>
        <v>0</v>
      </c>
      <c r="K46" s="648">
        <f>IFERROR(VLOOKUP($A46,Race_2024_Seasonal!A:X,14,FALSE),0)</f>
        <v>0</v>
      </c>
      <c r="L46" s="648">
        <f>IFERROR(VLOOKUP($A46,Race_2024_Seasonal!A:X,15,FALSE),0)</f>
        <v>0</v>
      </c>
      <c r="M46" s="648">
        <f>IFERROR(VLOOKUP($A46,Race_2024_Seasonal!A:X,16,FALSE),0)</f>
        <v>0</v>
      </c>
      <c r="N46" s="648">
        <f>IFERROR(VLOOKUP($A46,Race_2024_Seasonal!A:X,17,FALSE),0)</f>
        <v>0</v>
      </c>
      <c r="O46" s="648">
        <f>IFERROR(VLOOKUP($A46,Race_2024_Seasonal!A:X,18,FALSE),0)</f>
        <v>0</v>
      </c>
      <c r="P46" s="542"/>
      <c r="Q46" s="648">
        <f t="shared" si="0"/>
        <v>0</v>
      </c>
      <c r="R46" s="542"/>
      <c r="S46" s="659">
        <f>Q46-'P&amp;L'!I46</f>
        <v>0</v>
      </c>
    </row>
    <row r="47" spans="1:19" ht="15" x14ac:dyDescent="0.25">
      <c r="A47" s="534" t="s">
        <v>819</v>
      </c>
      <c r="B47" s="534" t="str">
        <f>IFERROR(VLOOKUP(A47,Race_2024_Seasonal!A:C,3,FALSE), VLOOKUP(A47,Race_2024_Seasonal!A:C,3,FALSE))</f>
        <v>Other cost var. tot</v>
      </c>
      <c r="C47" s="552" t="s">
        <v>820</v>
      </c>
      <c r="D47" s="654">
        <f>IFERROR(VLOOKUP($A47,Race_2024_Seasonal!A:X,7,FALSE),0)</f>
        <v>-14844.708000000001</v>
      </c>
      <c r="E47" s="654">
        <f>IFERROR(VLOOKUP($A47,Race_2024_Seasonal!A:X,8,FALSE),0)</f>
        <v>-14844.822</v>
      </c>
      <c r="F47" s="654">
        <f>IFERROR(VLOOKUP($A47,Race_2024_Seasonal!A:X,9,FALSE),0)</f>
        <v>-14446.421</v>
      </c>
      <c r="G47" s="654">
        <f>IFERROR(VLOOKUP($A47,Race_2024_Seasonal!A:X,10,FALSE),0)</f>
        <v>-14844.822</v>
      </c>
      <c r="H47" s="654">
        <f>IFERROR(VLOOKUP($A47,Race_2024_Seasonal!A:X,11,FALSE),0)</f>
        <v>-15243.594999999999</v>
      </c>
      <c r="I47" s="654">
        <f>IFERROR(VLOOKUP($A47,Race_2024_Seasonal!A:X,12,FALSE),0)</f>
        <v>-14161.752</v>
      </c>
      <c r="J47" s="654">
        <f>IFERROR(VLOOKUP($A47,Race_2024_Seasonal!A:X,13,FALSE),0)</f>
        <v>-15375.721</v>
      </c>
      <c r="K47" s="654">
        <f>IFERROR(VLOOKUP($A47,Race_2024_Seasonal!A:X,14,FALSE),0)</f>
        <v>-14970.263000000001</v>
      </c>
      <c r="L47" s="654">
        <f>IFERROR(VLOOKUP($A47,Race_2024_Seasonal!A:X,15,FALSE),0)</f>
        <v>-13351.703</v>
      </c>
      <c r="M47" s="654">
        <f>IFERROR(VLOOKUP($A47,Race_2024_Seasonal!A:X,16,FALSE),0)</f>
        <v>-15374.933000000001</v>
      </c>
      <c r="N47" s="654">
        <f>IFERROR(VLOOKUP($A47,Race_2024_Seasonal!A:X,17,FALSE),0)</f>
        <v>-14969.995999999999</v>
      </c>
      <c r="O47" s="654">
        <f>IFERROR(VLOOKUP($A47,Race_2024_Seasonal!A:X,18,FALSE),0)</f>
        <v>-12946.912</v>
      </c>
      <c r="P47" s="542"/>
      <c r="Q47" s="654">
        <f t="shared" si="0"/>
        <v>-175375.64799999999</v>
      </c>
      <c r="R47" s="542"/>
      <c r="S47" s="659">
        <f>Q47-'P&amp;L'!I47</f>
        <v>0</v>
      </c>
    </row>
    <row r="48" spans="1:19" ht="15" x14ac:dyDescent="0.25">
      <c r="A48" s="534" t="s">
        <v>821</v>
      </c>
      <c r="B48" s="534" t="e">
        <f>IFERROR(VLOOKUP(A48,Race_2024_Seasonal!A:C,3,FALSE), VLOOKUP(A48,Race_2024_Seasonal!A:C,3,FALSE))</f>
        <v>#N/A</v>
      </c>
      <c r="C48" s="551" t="s">
        <v>822</v>
      </c>
      <c r="D48" s="613">
        <f>IFERROR(VLOOKUP($A48,Race_2024_Seasonal!A:X,7,FALSE),0)</f>
        <v>0</v>
      </c>
      <c r="E48" s="613">
        <f>IFERROR(VLOOKUP($A48,Race_2024_Seasonal!A:X,8,FALSE),0)</f>
        <v>0</v>
      </c>
      <c r="F48" s="613">
        <f>IFERROR(VLOOKUP($A48,Race_2024_Seasonal!A:X,9,FALSE),0)</f>
        <v>0</v>
      </c>
      <c r="G48" s="613">
        <f>IFERROR(VLOOKUP($A48,Race_2024_Seasonal!A:X,10,FALSE),0)</f>
        <v>0</v>
      </c>
      <c r="H48" s="613">
        <f>IFERROR(VLOOKUP($A48,Race_2024_Seasonal!A:X,11,FALSE),0)</f>
        <v>0</v>
      </c>
      <c r="I48" s="613">
        <f>IFERROR(VLOOKUP($A48,Race_2024_Seasonal!A:X,12,FALSE),0)</f>
        <v>0</v>
      </c>
      <c r="J48" s="613">
        <f>IFERROR(VLOOKUP($A48,Race_2024_Seasonal!A:X,13,FALSE),0)</f>
        <v>0</v>
      </c>
      <c r="K48" s="613">
        <f>IFERROR(VLOOKUP($A48,Race_2024_Seasonal!A:X,14,FALSE),0)</f>
        <v>0</v>
      </c>
      <c r="L48" s="613">
        <f>IFERROR(VLOOKUP($A48,Race_2024_Seasonal!A:X,15,FALSE),0)</f>
        <v>0</v>
      </c>
      <c r="M48" s="613">
        <f>IFERROR(VLOOKUP($A48,Race_2024_Seasonal!A:X,16,FALSE),0)</f>
        <v>0</v>
      </c>
      <c r="N48" s="613">
        <f>IFERROR(VLOOKUP($A48,Race_2024_Seasonal!A:X,17,FALSE),0)</f>
        <v>0</v>
      </c>
      <c r="O48" s="613">
        <f>IFERROR(VLOOKUP($A48,Race_2024_Seasonal!A:X,18,FALSE),0)</f>
        <v>0</v>
      </c>
      <c r="P48" s="542"/>
      <c r="Q48" s="613">
        <f t="shared" si="0"/>
        <v>0</v>
      </c>
      <c r="R48" s="542"/>
      <c r="S48" s="659">
        <f>Q48-'P&amp;L'!I48</f>
        <v>0</v>
      </c>
    </row>
    <row r="49" spans="1:19" ht="15" x14ac:dyDescent="0.25">
      <c r="A49" s="534" t="s">
        <v>823</v>
      </c>
      <c r="B49" s="534" t="str">
        <f>IFERROR(VLOOKUP(A49,Race_2024_Seasonal!A:C,3,FALSE), VLOOKUP(A49,Race_2024_Seasonal!A:C,3,FALSE))</f>
        <v>R&amp;A and gen.warr.</v>
      </c>
      <c r="C49" s="551" t="s">
        <v>824</v>
      </c>
      <c r="D49" s="613">
        <f>IFERROR(VLOOKUP($A49,Race_2024_Seasonal!A:X,7,FALSE),0)</f>
        <v>-14844.708000000001</v>
      </c>
      <c r="E49" s="613">
        <f>IFERROR(VLOOKUP($A49,Race_2024_Seasonal!A:X,8,FALSE),0)</f>
        <v>-14844.822</v>
      </c>
      <c r="F49" s="613">
        <f>IFERROR(VLOOKUP($A49,Race_2024_Seasonal!A:X,9,FALSE),0)</f>
        <v>-14446.421</v>
      </c>
      <c r="G49" s="613">
        <f>IFERROR(VLOOKUP($A49,Race_2024_Seasonal!A:X,10,FALSE),0)</f>
        <v>-14844.822</v>
      </c>
      <c r="H49" s="613">
        <f>IFERROR(VLOOKUP($A49,Race_2024_Seasonal!A:X,11,FALSE),0)</f>
        <v>-15243.594999999999</v>
      </c>
      <c r="I49" s="613">
        <f>IFERROR(VLOOKUP($A49,Race_2024_Seasonal!A:X,12,FALSE),0)</f>
        <v>-14161.752</v>
      </c>
      <c r="J49" s="613">
        <f>IFERROR(VLOOKUP($A49,Race_2024_Seasonal!A:X,13,FALSE),0)</f>
        <v>-15375.721</v>
      </c>
      <c r="K49" s="613">
        <f>IFERROR(VLOOKUP($A49,Race_2024_Seasonal!A:X,14,FALSE),0)</f>
        <v>-14970.263000000001</v>
      </c>
      <c r="L49" s="613">
        <f>IFERROR(VLOOKUP($A49,Race_2024_Seasonal!A:X,15,FALSE),0)</f>
        <v>-13351.703</v>
      </c>
      <c r="M49" s="613">
        <f>IFERROR(VLOOKUP($A49,Race_2024_Seasonal!A:X,16,FALSE),0)</f>
        <v>-15374.933000000001</v>
      </c>
      <c r="N49" s="613">
        <f>IFERROR(VLOOKUP($A49,Race_2024_Seasonal!A:X,17,FALSE),0)</f>
        <v>-14969.995999999999</v>
      </c>
      <c r="O49" s="613">
        <f>IFERROR(VLOOKUP($A49,Race_2024_Seasonal!A:X,18,FALSE),0)</f>
        <v>-12946.912</v>
      </c>
      <c r="P49" s="542"/>
      <c r="Q49" s="613">
        <f t="shared" si="0"/>
        <v>-175375.64799999999</v>
      </c>
      <c r="R49" s="542"/>
      <c r="S49" s="659">
        <f>Q49-'P&amp;L'!I49</f>
        <v>0</v>
      </c>
    </row>
    <row r="50" spans="1:19" ht="15" x14ac:dyDescent="0.25">
      <c r="A50" s="534" t="s">
        <v>825</v>
      </c>
      <c r="B50" s="534" t="e">
        <f>IFERROR(VLOOKUP(A50,Race_2024_Seasonal!A:C,3,FALSE), VLOOKUP(A50,Race_2024_Seasonal!A:C,3,FALSE))</f>
        <v>#N/A</v>
      </c>
      <c r="C50" s="551" t="s">
        <v>826</v>
      </c>
      <c r="D50" s="613">
        <f>IFERROR(VLOOKUP($A50,Race_2024_Seasonal!A:X,7,FALSE),0)</f>
        <v>0</v>
      </c>
      <c r="E50" s="613">
        <f>IFERROR(VLOOKUP($A50,Race_2024_Seasonal!A:X,8,FALSE),0)</f>
        <v>0</v>
      </c>
      <c r="F50" s="613">
        <f>IFERROR(VLOOKUP($A50,Race_2024_Seasonal!A:X,9,FALSE),0)</f>
        <v>0</v>
      </c>
      <c r="G50" s="613">
        <f>IFERROR(VLOOKUP($A50,Race_2024_Seasonal!A:X,10,FALSE),0)</f>
        <v>0</v>
      </c>
      <c r="H50" s="613">
        <f>IFERROR(VLOOKUP($A50,Race_2024_Seasonal!A:X,11,FALSE),0)</f>
        <v>0</v>
      </c>
      <c r="I50" s="613">
        <f>IFERROR(VLOOKUP($A50,Race_2024_Seasonal!A:X,12,FALSE),0)</f>
        <v>0</v>
      </c>
      <c r="J50" s="613">
        <f>IFERROR(VLOOKUP($A50,Race_2024_Seasonal!A:X,13,FALSE),0)</f>
        <v>0</v>
      </c>
      <c r="K50" s="613">
        <f>IFERROR(VLOOKUP($A50,Race_2024_Seasonal!A:X,14,FALSE),0)</f>
        <v>0</v>
      </c>
      <c r="L50" s="613">
        <f>IFERROR(VLOOKUP($A50,Race_2024_Seasonal!A:X,15,FALSE),0)</f>
        <v>0</v>
      </c>
      <c r="M50" s="613">
        <f>IFERROR(VLOOKUP($A50,Race_2024_Seasonal!A:X,16,FALSE),0)</f>
        <v>0</v>
      </c>
      <c r="N50" s="613">
        <f>IFERROR(VLOOKUP($A50,Race_2024_Seasonal!A:X,17,FALSE),0)</f>
        <v>0</v>
      </c>
      <c r="O50" s="613">
        <f>IFERROR(VLOOKUP($A50,Race_2024_Seasonal!A:X,18,FALSE),0)</f>
        <v>0</v>
      </c>
      <c r="P50" s="542"/>
      <c r="Q50" s="613">
        <f t="shared" si="0"/>
        <v>0</v>
      </c>
      <c r="R50" s="542"/>
      <c r="S50" s="659">
        <f>Q50-'P&amp;L'!I50</f>
        <v>0</v>
      </c>
    </row>
    <row r="51" spans="1:19" ht="15" x14ac:dyDescent="0.25">
      <c r="A51" s="534" t="s">
        <v>827</v>
      </c>
      <c r="B51" s="534" t="e">
        <f>IFERROR(VLOOKUP(A51,Race_2024_Seasonal!A:C,3,FALSE), VLOOKUP(A51,Race_2024_Seasonal!A:C,3,FALSE))</f>
        <v>#N/A</v>
      </c>
      <c r="C51" s="551" t="s">
        <v>828</v>
      </c>
      <c r="D51" s="613">
        <f>IFERROR(VLOOKUP($A51,Race_2024_Seasonal!A:X,7,FALSE),0)</f>
        <v>0</v>
      </c>
      <c r="E51" s="613">
        <f>IFERROR(VLOOKUP($A51,Race_2024_Seasonal!A:X,8,FALSE),0)</f>
        <v>0</v>
      </c>
      <c r="F51" s="613">
        <f>IFERROR(VLOOKUP($A51,Race_2024_Seasonal!A:X,9,FALSE),0)</f>
        <v>0</v>
      </c>
      <c r="G51" s="613">
        <f>IFERROR(VLOOKUP($A51,Race_2024_Seasonal!A:X,10,FALSE),0)</f>
        <v>0</v>
      </c>
      <c r="H51" s="613">
        <f>IFERROR(VLOOKUP($A51,Race_2024_Seasonal!A:X,11,FALSE),0)</f>
        <v>0</v>
      </c>
      <c r="I51" s="613">
        <f>IFERROR(VLOOKUP($A51,Race_2024_Seasonal!A:X,12,FALSE),0)</f>
        <v>0</v>
      </c>
      <c r="J51" s="613">
        <f>IFERROR(VLOOKUP($A51,Race_2024_Seasonal!A:X,13,FALSE),0)</f>
        <v>0</v>
      </c>
      <c r="K51" s="613">
        <f>IFERROR(VLOOKUP($A51,Race_2024_Seasonal!A:X,14,FALSE),0)</f>
        <v>0</v>
      </c>
      <c r="L51" s="613">
        <f>IFERROR(VLOOKUP($A51,Race_2024_Seasonal!A:X,15,FALSE),0)</f>
        <v>0</v>
      </c>
      <c r="M51" s="613">
        <f>IFERROR(VLOOKUP($A51,Race_2024_Seasonal!A:X,16,FALSE),0)</f>
        <v>0</v>
      </c>
      <c r="N51" s="613">
        <f>IFERROR(VLOOKUP($A51,Race_2024_Seasonal!A:X,17,FALSE),0)</f>
        <v>0</v>
      </c>
      <c r="O51" s="613">
        <f>IFERROR(VLOOKUP($A51,Race_2024_Seasonal!A:X,18,FALSE),0)</f>
        <v>0</v>
      </c>
      <c r="P51" s="542"/>
      <c r="Q51" s="613">
        <f t="shared" si="0"/>
        <v>0</v>
      </c>
      <c r="R51" s="542"/>
      <c r="S51" s="659">
        <f>Q51-'P&amp;L'!I51</f>
        <v>0</v>
      </c>
    </row>
    <row r="52" spans="1:19" ht="15" x14ac:dyDescent="0.25">
      <c r="A52" s="534" t="s">
        <v>829</v>
      </c>
      <c r="B52" s="534" t="e">
        <f>IFERROR(VLOOKUP(A52,Race_2024_Seasonal!A:C,3,FALSE), VLOOKUP(A52,Race_2024_Seasonal!A:C,3,FALSE))</f>
        <v>#N/A</v>
      </c>
      <c r="C52" s="551" t="s">
        <v>830</v>
      </c>
      <c r="D52" s="613">
        <f>IFERROR(VLOOKUP($A52,Race_2024_Seasonal!A:X,7,FALSE),0)</f>
        <v>0</v>
      </c>
      <c r="E52" s="613">
        <f>IFERROR(VLOOKUP($A52,Race_2024_Seasonal!A:X,8,FALSE),0)</f>
        <v>0</v>
      </c>
      <c r="F52" s="613">
        <f>IFERROR(VLOOKUP($A52,Race_2024_Seasonal!A:X,9,FALSE),0)</f>
        <v>0</v>
      </c>
      <c r="G52" s="613">
        <f>IFERROR(VLOOKUP($A52,Race_2024_Seasonal!A:X,10,FALSE),0)</f>
        <v>0</v>
      </c>
      <c r="H52" s="613">
        <f>IFERROR(VLOOKUP($A52,Race_2024_Seasonal!A:X,11,FALSE),0)</f>
        <v>0</v>
      </c>
      <c r="I52" s="613">
        <f>IFERROR(VLOOKUP($A52,Race_2024_Seasonal!A:X,12,FALSE),0)</f>
        <v>0</v>
      </c>
      <c r="J52" s="613">
        <f>IFERROR(VLOOKUP($A52,Race_2024_Seasonal!A:X,13,FALSE),0)</f>
        <v>0</v>
      </c>
      <c r="K52" s="613">
        <f>IFERROR(VLOOKUP($A52,Race_2024_Seasonal!A:X,14,FALSE),0)</f>
        <v>0</v>
      </c>
      <c r="L52" s="613">
        <f>IFERROR(VLOOKUP($A52,Race_2024_Seasonal!A:X,15,FALSE),0)</f>
        <v>0</v>
      </c>
      <c r="M52" s="613">
        <f>IFERROR(VLOOKUP($A52,Race_2024_Seasonal!A:X,16,FALSE),0)</f>
        <v>0</v>
      </c>
      <c r="N52" s="613">
        <f>IFERROR(VLOOKUP($A52,Race_2024_Seasonal!A:X,17,FALSE),0)</f>
        <v>0</v>
      </c>
      <c r="O52" s="613">
        <f>IFERROR(VLOOKUP($A52,Race_2024_Seasonal!A:X,18,FALSE),0)</f>
        <v>0</v>
      </c>
      <c r="P52" s="542"/>
      <c r="Q52" s="613">
        <f t="shared" si="0"/>
        <v>0</v>
      </c>
      <c r="R52" s="542"/>
      <c r="S52" s="659">
        <f>Q52-'P&amp;L'!I52</f>
        <v>0</v>
      </c>
    </row>
    <row r="53" spans="1:19" ht="15" x14ac:dyDescent="0.25">
      <c r="A53" s="603" t="s">
        <v>831</v>
      </c>
      <c r="B53" s="534" t="str">
        <f>IFERROR(VLOOKUP(A53,Race_2024_Seasonal!A:C,3,FALSE), VLOOKUP(A53,Race_2024_Seasonal!A:C,3,FALSE))</f>
        <v>MC after variations</v>
      </c>
      <c r="C53" s="604" t="s">
        <v>832</v>
      </c>
      <c r="D53" s="611">
        <f>IFERROR(VLOOKUP($A53,Race_2024_Seasonal!A:X,7,FALSE),0)</f>
        <v>591808.35900000005</v>
      </c>
      <c r="E53" s="611">
        <f>IFERROR(VLOOKUP($A53,Race_2024_Seasonal!A:X,8,FALSE),0)</f>
        <v>591813.35699999996</v>
      </c>
      <c r="F53" s="611">
        <f>IFERROR(VLOOKUP($A53,Race_2024_Seasonal!A:X,9,FALSE),0)</f>
        <v>578823.49600000004</v>
      </c>
      <c r="G53" s="611">
        <f>IFERROR(VLOOKUP($A53,Race_2024_Seasonal!A:X,10,FALSE),0)</f>
        <v>591813.35699999996</v>
      </c>
      <c r="H53" s="611">
        <f>IFERROR(VLOOKUP($A53,Race_2024_Seasonal!A:X,11,FALSE),0)</f>
        <v>604820.53099999996</v>
      </c>
      <c r="I53" s="611">
        <f>IFERROR(VLOOKUP($A53,Race_2024_Seasonal!A:X,12,FALSE),0)</f>
        <v>570831.71499999997</v>
      </c>
      <c r="J53" s="611">
        <f>IFERROR(VLOOKUP($A53,Race_2024_Seasonal!A:X,13,FALSE),0)</f>
        <v>610620.51699999999</v>
      </c>
      <c r="K53" s="611">
        <f>IFERROR(VLOOKUP($A53,Race_2024_Seasonal!A:X,14,FALSE),0)</f>
        <v>597325.63699999999</v>
      </c>
      <c r="L53" s="611">
        <f>IFERROR(VLOOKUP($A53,Race_2024_Seasonal!A:X,15,FALSE),0)</f>
        <v>544275.86600000004</v>
      </c>
      <c r="M53" s="611">
        <f>IFERROR(VLOOKUP($A53,Race_2024_Seasonal!A:X,16,FALSE),0)</f>
        <v>610591.37899999996</v>
      </c>
      <c r="N53" s="611">
        <f>IFERROR(VLOOKUP($A53,Race_2024_Seasonal!A:X,17,FALSE),0)</f>
        <v>597316.71499999997</v>
      </c>
      <c r="O53" s="611">
        <f>IFERROR(VLOOKUP($A53,Race_2024_Seasonal!A:X,18,FALSE),0)</f>
        <v>531006.52</v>
      </c>
      <c r="P53" s="542"/>
      <c r="Q53" s="611">
        <f t="shared" si="0"/>
        <v>7021047.4489999991</v>
      </c>
      <c r="R53" s="542"/>
      <c r="S53" s="659">
        <f>Q53-'P&amp;L'!I53</f>
        <v>0</v>
      </c>
    </row>
    <row r="54" spans="1:19" ht="15" x14ac:dyDescent="0.25">
      <c r="A54" s="534" t="s">
        <v>833</v>
      </c>
      <c r="B54" s="534" t="str">
        <f>IFERROR(VLOOKUP(A54,Race_2024_Seasonal!A:C,3,FALSE), VLOOKUP(A54,Race_2024_Seasonal!A:C,3,FALSE))</f>
        <v>Prod.&amp;mat.mgmt.exp.</v>
      </c>
      <c r="C54" s="540" t="s">
        <v>834</v>
      </c>
      <c r="D54" s="653">
        <f>IFERROR(VLOOKUP($A54,Race_2024_Seasonal!A:X,7,FALSE),0)</f>
        <v>-221269.07500000001</v>
      </c>
      <c r="E54" s="653">
        <f>IFERROR(VLOOKUP($A54,Race_2024_Seasonal!A:X,8,FALSE),0)</f>
        <v>-222653.329</v>
      </c>
      <c r="F54" s="653">
        <f>IFERROR(VLOOKUP($A54,Race_2024_Seasonal!A:X,9,FALSE),0)</f>
        <v>-216444.16200000001</v>
      </c>
      <c r="G54" s="653">
        <f>IFERROR(VLOOKUP($A54,Race_2024_Seasonal!A:X,10,FALSE),0)</f>
        <v>-206141.86499999999</v>
      </c>
      <c r="H54" s="653">
        <f>IFERROR(VLOOKUP($A54,Race_2024_Seasonal!A:X,11,FALSE),0)</f>
        <v>-212226.046</v>
      </c>
      <c r="I54" s="653">
        <f>IFERROR(VLOOKUP($A54,Race_2024_Seasonal!A:X,12,FALSE),0)</f>
        <v>-209566.73199999999</v>
      </c>
      <c r="J54" s="653">
        <f>IFERROR(VLOOKUP($A54,Race_2024_Seasonal!A:X,13,FALSE),0)</f>
        <v>-229967.41099999999</v>
      </c>
      <c r="K54" s="653">
        <f>IFERROR(VLOOKUP($A54,Race_2024_Seasonal!A:X,14,FALSE),0)</f>
        <v>-222076.22399999999</v>
      </c>
      <c r="L54" s="653">
        <f>IFERROR(VLOOKUP($A54,Race_2024_Seasonal!A:X,15,FALSE),0)</f>
        <v>-220803.761</v>
      </c>
      <c r="M54" s="653">
        <f>IFERROR(VLOOKUP($A54,Race_2024_Seasonal!A:X,16,FALSE),0)</f>
        <v>-215391.383</v>
      </c>
      <c r="N54" s="653">
        <f>IFERROR(VLOOKUP($A54,Race_2024_Seasonal!A:X,17,FALSE),0)</f>
        <v>-215887.63399999999</v>
      </c>
      <c r="O54" s="653">
        <f>IFERROR(VLOOKUP($A54,Race_2024_Seasonal!A:X,18,FALSE),0)</f>
        <v>-214945.05</v>
      </c>
      <c r="P54" s="542"/>
      <c r="Q54" s="653">
        <f t="shared" si="0"/>
        <v>-2607372.6719999998</v>
      </c>
      <c r="R54" s="542"/>
      <c r="S54" s="659">
        <f>Q54-'P&amp;L'!I54</f>
        <v>0</v>
      </c>
    </row>
    <row r="55" spans="1:19" ht="15" x14ac:dyDescent="0.25">
      <c r="A55" s="534" t="s">
        <v>835</v>
      </c>
      <c r="B55" s="534" t="str">
        <f>IFERROR(VLOOKUP(A55,Race_2024_Seasonal!A:C,3,FALSE), VLOOKUP(A55,Race_2024_Seasonal!A:C,3,FALSE))</f>
        <v>PE production</v>
      </c>
      <c r="C55" s="537" t="s">
        <v>836</v>
      </c>
      <c r="D55" s="613">
        <f>IFERROR(VLOOKUP($A55,Race_2024_Seasonal!A:X,7,FALSE),0)</f>
        <v>-159314.158</v>
      </c>
      <c r="E55" s="613">
        <f>IFERROR(VLOOKUP($A55,Race_2024_Seasonal!A:X,8,FALSE),0)</f>
        <v>-160632.56400000001</v>
      </c>
      <c r="F55" s="613">
        <f>IFERROR(VLOOKUP($A55,Race_2024_Seasonal!A:X,9,FALSE),0)</f>
        <v>-155687.80900000001</v>
      </c>
      <c r="G55" s="613">
        <f>IFERROR(VLOOKUP($A55,Race_2024_Seasonal!A:X,10,FALSE),0)</f>
        <v>-147360.992</v>
      </c>
      <c r="H55" s="613">
        <f>IFERROR(VLOOKUP($A55,Race_2024_Seasonal!A:X,11,FALSE),0)</f>
        <v>-150509.35699999999</v>
      </c>
      <c r="I55" s="613">
        <f>IFERROR(VLOOKUP($A55,Race_2024_Seasonal!A:X,12,FALSE),0)</f>
        <v>-148156.54800000001</v>
      </c>
      <c r="J55" s="613">
        <f>IFERROR(VLOOKUP($A55,Race_2024_Seasonal!A:X,13,FALSE),0)</f>
        <v>-161522.277</v>
      </c>
      <c r="K55" s="613">
        <f>IFERROR(VLOOKUP($A55,Race_2024_Seasonal!A:X,14,FALSE),0)</f>
        <v>-158940.429</v>
      </c>
      <c r="L55" s="613">
        <f>IFERROR(VLOOKUP($A55,Race_2024_Seasonal!A:X,15,FALSE),0)</f>
        <v>-158670.06299999999</v>
      </c>
      <c r="M55" s="613">
        <f>IFERROR(VLOOKUP($A55,Race_2024_Seasonal!A:X,16,FALSE),0)</f>
        <v>-150420.29199999999</v>
      </c>
      <c r="N55" s="613">
        <f>IFERROR(VLOOKUP($A55,Race_2024_Seasonal!A:X,17,FALSE),0)</f>
        <v>-152659.01800000001</v>
      </c>
      <c r="O55" s="613">
        <f>IFERROR(VLOOKUP($A55,Race_2024_Seasonal!A:X,18,FALSE),0)</f>
        <v>-151145.37100000001</v>
      </c>
      <c r="P55" s="542"/>
      <c r="Q55" s="613">
        <f t="shared" si="0"/>
        <v>-1855018.878</v>
      </c>
      <c r="R55" s="542"/>
      <c r="S55" s="659">
        <f>Q55-'P&amp;L'!I55</f>
        <v>0</v>
      </c>
    </row>
    <row r="56" spans="1:19" ht="15" x14ac:dyDescent="0.25">
      <c r="A56" s="534" t="s">
        <v>837</v>
      </c>
      <c r="B56" s="534" t="str">
        <f>IFERROR(VLOOKUP(A56,Race_2024_Seasonal!A:C,3,FALSE), VLOOKUP(A56,Race_2024_Seasonal!A:C,3,FALSE))</f>
        <v>PE mat. management</v>
      </c>
      <c r="C56" s="537" t="s">
        <v>838</v>
      </c>
      <c r="D56" s="613">
        <f>IFERROR(VLOOKUP($A56,Race_2024_Seasonal!A:X,7,FALSE),0)</f>
        <v>-27062.708999999999</v>
      </c>
      <c r="E56" s="613">
        <f>IFERROR(VLOOKUP($A56,Race_2024_Seasonal!A:X,8,FALSE),0)</f>
        <v>-26637.886999999999</v>
      </c>
      <c r="F56" s="613">
        <f>IFERROR(VLOOKUP($A56,Race_2024_Seasonal!A:X,9,FALSE),0)</f>
        <v>-25382.144</v>
      </c>
      <c r="G56" s="613">
        <f>IFERROR(VLOOKUP($A56,Race_2024_Seasonal!A:X,10,FALSE),0)</f>
        <v>-24348.285</v>
      </c>
      <c r="H56" s="613">
        <f>IFERROR(VLOOKUP($A56,Race_2024_Seasonal!A:X,11,FALSE),0)</f>
        <v>-24956.33</v>
      </c>
      <c r="I56" s="613">
        <f>IFERROR(VLOOKUP($A56,Race_2024_Seasonal!A:X,12,FALSE),0)</f>
        <v>-24961.858</v>
      </c>
      <c r="J56" s="613">
        <f>IFERROR(VLOOKUP($A56,Race_2024_Seasonal!A:X,13,FALSE),0)</f>
        <v>-28187.463</v>
      </c>
      <c r="K56" s="613">
        <f>IFERROR(VLOOKUP($A56,Race_2024_Seasonal!A:X,14,FALSE),0)</f>
        <v>-26668.152999999998</v>
      </c>
      <c r="L56" s="613">
        <f>IFERROR(VLOOKUP($A56,Race_2024_Seasonal!A:X,15,FALSE),0)</f>
        <v>-26945.416000000001</v>
      </c>
      <c r="M56" s="613">
        <f>IFERROR(VLOOKUP($A56,Race_2024_Seasonal!A:X,16,FALSE),0)</f>
        <v>-27826.287</v>
      </c>
      <c r="N56" s="613">
        <f>IFERROR(VLOOKUP($A56,Race_2024_Seasonal!A:X,17,FALSE),0)</f>
        <v>-27678.127</v>
      </c>
      <c r="O56" s="613">
        <f>IFERROR(VLOOKUP($A56,Race_2024_Seasonal!A:X,18,FALSE),0)</f>
        <v>-27847.616000000002</v>
      </c>
      <c r="P56" s="542"/>
      <c r="Q56" s="613">
        <f t="shared" si="0"/>
        <v>-318502.27499999991</v>
      </c>
      <c r="R56" s="542"/>
      <c r="S56" s="659">
        <f>Q56-'P&amp;L'!I56</f>
        <v>0</v>
      </c>
    </row>
    <row r="57" spans="1:19" ht="15" x14ac:dyDescent="0.25">
      <c r="A57" s="534" t="s">
        <v>839</v>
      </c>
      <c r="B57" s="534" t="str">
        <f>IFERROR(VLOOKUP(A57,Race_2024_Seasonal!A:C,3,FALSE), VLOOKUP(A57,Race_2024_Seasonal!A:C,3,FALSE))</f>
        <v>PE plant admin.</v>
      </c>
      <c r="C57" s="537" t="s">
        <v>840</v>
      </c>
      <c r="D57" s="648">
        <f>IFERROR(VLOOKUP($A57,Race_2024_Seasonal!A:X,7,FALSE),0)</f>
        <v>-18943.753000000001</v>
      </c>
      <c r="E57" s="648">
        <f>IFERROR(VLOOKUP($A57,Race_2024_Seasonal!A:X,8,FALSE),0)</f>
        <v>-19434.422999999999</v>
      </c>
      <c r="F57" s="648">
        <f>IFERROR(VLOOKUP($A57,Race_2024_Seasonal!A:X,9,FALSE),0)</f>
        <v>-19840.422999999999</v>
      </c>
      <c r="G57" s="648">
        <f>IFERROR(VLOOKUP($A57,Race_2024_Seasonal!A:X,10,FALSE),0)</f>
        <v>-18484.133000000002</v>
      </c>
      <c r="H57" s="648">
        <f>IFERROR(VLOOKUP($A57,Race_2024_Seasonal!A:X,11,FALSE),0)</f>
        <v>-20397.235000000001</v>
      </c>
      <c r="I57" s="648">
        <f>IFERROR(VLOOKUP($A57,Race_2024_Seasonal!A:X,12,FALSE),0)</f>
        <v>-21329.21</v>
      </c>
      <c r="J57" s="648">
        <f>IFERROR(VLOOKUP($A57,Race_2024_Seasonal!A:X,13,FALSE),0)</f>
        <v>-23894.546999999999</v>
      </c>
      <c r="K57" s="648">
        <f>IFERROR(VLOOKUP($A57,Race_2024_Seasonal!A:X,14,FALSE),0)</f>
        <v>-20519.955999999998</v>
      </c>
      <c r="L57" s="648">
        <f>IFERROR(VLOOKUP($A57,Race_2024_Seasonal!A:X,15,FALSE),0)</f>
        <v>-20900.056</v>
      </c>
      <c r="M57" s="648">
        <f>IFERROR(VLOOKUP($A57,Race_2024_Seasonal!A:X,16,FALSE),0)</f>
        <v>-20783.232</v>
      </c>
      <c r="N57" s="648">
        <f>IFERROR(VLOOKUP($A57,Race_2024_Seasonal!A:X,17,FALSE),0)</f>
        <v>-19603.585999999999</v>
      </c>
      <c r="O57" s="648">
        <f>IFERROR(VLOOKUP($A57,Race_2024_Seasonal!A:X,18,FALSE),0)</f>
        <v>-22078.508000000002</v>
      </c>
      <c r="P57" s="542"/>
      <c r="Q57" s="648">
        <f t="shared" si="0"/>
        <v>-246209.06200000001</v>
      </c>
      <c r="R57" s="542"/>
      <c r="S57" s="659">
        <f>Q57-'P&amp;L'!I57</f>
        <v>0</v>
      </c>
    </row>
    <row r="58" spans="1:19" ht="15" x14ac:dyDescent="0.25">
      <c r="A58" s="534" t="s">
        <v>841</v>
      </c>
      <c r="B58" s="534" t="str">
        <f>IFERROR(VLOOKUP(A58,Race_2024_Seasonal!A:C,3,FALSE), VLOOKUP(A58,Race_2024_Seasonal!A:C,3,FALSE))</f>
        <v>Period expenses ICO</v>
      </c>
      <c r="C58" s="537" t="s">
        <v>461</v>
      </c>
      <c r="D58" s="648">
        <f>IFERROR(VLOOKUP($A58,Race_2024_Seasonal!A:X,7,FALSE),0)</f>
        <v>-15948.455</v>
      </c>
      <c r="E58" s="648">
        <f>IFERROR(VLOOKUP($A58,Race_2024_Seasonal!A:X,8,FALSE),0)</f>
        <v>-15948.455</v>
      </c>
      <c r="F58" s="648">
        <f>IFERROR(VLOOKUP($A58,Race_2024_Seasonal!A:X,9,FALSE),0)</f>
        <v>-15533.786</v>
      </c>
      <c r="G58" s="648">
        <f>IFERROR(VLOOKUP($A58,Race_2024_Seasonal!A:X,10,FALSE),0)</f>
        <v>-15948.455</v>
      </c>
      <c r="H58" s="648">
        <f>IFERROR(VLOOKUP($A58,Race_2024_Seasonal!A:X,11,FALSE),0)</f>
        <v>-16363.124</v>
      </c>
      <c r="I58" s="648">
        <f>IFERROR(VLOOKUP($A58,Race_2024_Seasonal!A:X,12,FALSE),0)</f>
        <v>-15119.116</v>
      </c>
      <c r="J58" s="648">
        <f>IFERROR(VLOOKUP($A58,Race_2024_Seasonal!A:X,13,FALSE),0)</f>
        <v>-16363.124</v>
      </c>
      <c r="K58" s="648">
        <f>IFERROR(VLOOKUP($A58,Race_2024_Seasonal!A:X,14,FALSE),0)</f>
        <v>-15947.686</v>
      </c>
      <c r="L58" s="648">
        <f>IFERROR(VLOOKUP($A58,Race_2024_Seasonal!A:X,15,FALSE),0)</f>
        <v>-14288.226000000001</v>
      </c>
      <c r="M58" s="648">
        <f>IFERROR(VLOOKUP($A58,Race_2024_Seasonal!A:X,16,FALSE),0)</f>
        <v>-16361.572</v>
      </c>
      <c r="N58" s="648">
        <f>IFERROR(VLOOKUP($A58,Race_2024_Seasonal!A:X,17,FALSE),0)</f>
        <v>-15946.903</v>
      </c>
      <c r="O58" s="648">
        <f>IFERROR(VLOOKUP($A58,Race_2024_Seasonal!A:X,18,FALSE),0)</f>
        <v>-13873.555</v>
      </c>
      <c r="P58" s="542"/>
      <c r="Q58" s="648">
        <f t="shared" si="0"/>
        <v>-187642.45699999999</v>
      </c>
      <c r="R58" s="542"/>
      <c r="S58" s="659">
        <f>Q58-'P&amp;L'!I58</f>
        <v>0</v>
      </c>
    </row>
    <row r="59" spans="1:19" ht="15" x14ac:dyDescent="0.25">
      <c r="A59" s="534" t="s">
        <v>842</v>
      </c>
      <c r="B59" s="534" t="e">
        <f>IFERROR(VLOOKUP(A59,Race_2024_Seasonal!A:C,3,FALSE), VLOOKUP(A59,Race_2024_Seasonal!A:C,3,FALSE))</f>
        <v>#N/A</v>
      </c>
      <c r="C59" s="544" t="s">
        <v>843</v>
      </c>
      <c r="D59" s="650">
        <f>IFERROR(VLOOKUP($A59,Race_2024_Seasonal!A:X,7,FALSE),0)</f>
        <v>0</v>
      </c>
      <c r="E59" s="650">
        <f>IFERROR(VLOOKUP($A59,Race_2024_Seasonal!A:X,8,FALSE),0)</f>
        <v>0</v>
      </c>
      <c r="F59" s="650">
        <f>IFERROR(VLOOKUP($A59,Race_2024_Seasonal!A:X,9,FALSE),0)</f>
        <v>0</v>
      </c>
      <c r="G59" s="650">
        <f>IFERROR(VLOOKUP($A59,Race_2024_Seasonal!A:X,10,FALSE),0)</f>
        <v>0</v>
      </c>
      <c r="H59" s="650">
        <f>IFERROR(VLOOKUP($A59,Race_2024_Seasonal!A:X,11,FALSE),0)</f>
        <v>0</v>
      </c>
      <c r="I59" s="650">
        <f>IFERROR(VLOOKUP($A59,Race_2024_Seasonal!A:X,12,FALSE),0)</f>
        <v>0</v>
      </c>
      <c r="J59" s="650">
        <f>IFERROR(VLOOKUP($A59,Race_2024_Seasonal!A:X,13,FALSE),0)</f>
        <v>0</v>
      </c>
      <c r="K59" s="650">
        <f>IFERROR(VLOOKUP($A59,Race_2024_Seasonal!A:X,14,FALSE),0)</f>
        <v>0</v>
      </c>
      <c r="L59" s="650">
        <f>IFERROR(VLOOKUP($A59,Race_2024_Seasonal!A:X,15,FALSE),0)</f>
        <v>0</v>
      </c>
      <c r="M59" s="650">
        <f>IFERROR(VLOOKUP($A59,Race_2024_Seasonal!A:X,16,FALSE),0)</f>
        <v>0</v>
      </c>
      <c r="N59" s="650">
        <f>IFERROR(VLOOKUP($A59,Race_2024_Seasonal!A:X,17,FALSE),0)</f>
        <v>0</v>
      </c>
      <c r="O59" s="650">
        <f>IFERROR(VLOOKUP($A59,Race_2024_Seasonal!A:X,18,FALSE),0)</f>
        <v>0</v>
      </c>
      <c r="P59" s="542"/>
      <c r="Q59" s="650">
        <f t="shared" si="0"/>
        <v>0</v>
      </c>
      <c r="R59" s="542"/>
      <c r="S59" s="659">
        <f>Q59-'P&amp;L'!I59</f>
        <v>0</v>
      </c>
    </row>
    <row r="60" spans="1:19" ht="15" x14ac:dyDescent="0.25">
      <c r="A60" s="534" t="s">
        <v>844</v>
      </c>
      <c r="B60" s="534" t="e">
        <f>IFERROR(VLOOKUP(A60,Race_2024_Seasonal!A:C,3,FALSE), VLOOKUP(A60,Race_2024_Seasonal!A:C,3,FALSE))</f>
        <v>#N/A</v>
      </c>
      <c r="C60" s="540" t="s">
        <v>845</v>
      </c>
      <c r="D60" s="655">
        <f>IFERROR(VLOOKUP($A60,Race_2024_Seasonal!A:X,7,FALSE),0)</f>
        <v>0</v>
      </c>
      <c r="E60" s="655">
        <f>IFERROR(VLOOKUP($A60,Race_2024_Seasonal!A:X,8,FALSE),0)</f>
        <v>0</v>
      </c>
      <c r="F60" s="655">
        <f>IFERROR(VLOOKUP($A60,Race_2024_Seasonal!A:X,9,FALSE),0)</f>
        <v>0</v>
      </c>
      <c r="G60" s="655">
        <f>IFERROR(VLOOKUP($A60,Race_2024_Seasonal!A:X,10,FALSE),0)</f>
        <v>0</v>
      </c>
      <c r="H60" s="655">
        <f>IFERROR(VLOOKUP($A60,Race_2024_Seasonal!A:X,11,FALSE),0)</f>
        <v>0</v>
      </c>
      <c r="I60" s="655">
        <f>IFERROR(VLOOKUP($A60,Race_2024_Seasonal!A:X,12,FALSE),0)</f>
        <v>0</v>
      </c>
      <c r="J60" s="655">
        <f>IFERROR(VLOOKUP($A60,Race_2024_Seasonal!A:X,13,FALSE),0)</f>
        <v>0</v>
      </c>
      <c r="K60" s="655">
        <f>IFERROR(VLOOKUP($A60,Race_2024_Seasonal!A:X,14,FALSE),0)</f>
        <v>0</v>
      </c>
      <c r="L60" s="655">
        <f>IFERROR(VLOOKUP($A60,Race_2024_Seasonal!A:X,15,FALSE),0)</f>
        <v>0</v>
      </c>
      <c r="M60" s="655">
        <f>IFERROR(VLOOKUP($A60,Race_2024_Seasonal!A:X,16,FALSE),0)</f>
        <v>0</v>
      </c>
      <c r="N60" s="655">
        <f>IFERROR(VLOOKUP($A60,Race_2024_Seasonal!A:X,17,FALSE),0)</f>
        <v>0</v>
      </c>
      <c r="O60" s="655">
        <f>IFERROR(VLOOKUP($A60,Race_2024_Seasonal!A:X,18,FALSE),0)</f>
        <v>0</v>
      </c>
      <c r="P60" s="542"/>
      <c r="Q60" s="655">
        <f t="shared" si="0"/>
        <v>0</v>
      </c>
      <c r="R60" s="542"/>
      <c r="S60" s="659">
        <f>Q60-'P&amp;L'!I60</f>
        <v>0</v>
      </c>
    </row>
    <row r="61" spans="1:19" ht="15" x14ac:dyDescent="0.25">
      <c r="A61" s="534" t="s">
        <v>846</v>
      </c>
      <c r="B61" s="534" t="e">
        <f>IFERROR(VLOOKUP(A61,Race_2024_Seasonal!A:C,3,FALSE), VLOOKUP(A61,Race_2024_Seasonal!A:C,3,FALSE))</f>
        <v>#N/A</v>
      </c>
      <c r="C61" s="537" t="s">
        <v>847</v>
      </c>
      <c r="D61" s="610">
        <f>IFERROR(VLOOKUP($A61,Race_2024_Seasonal!A:X,7,FALSE),0)</f>
        <v>0</v>
      </c>
      <c r="E61" s="610">
        <f>IFERROR(VLOOKUP($A61,Race_2024_Seasonal!A:X,8,FALSE),0)</f>
        <v>0</v>
      </c>
      <c r="F61" s="610">
        <f>IFERROR(VLOOKUP($A61,Race_2024_Seasonal!A:X,9,FALSE),0)</f>
        <v>0</v>
      </c>
      <c r="G61" s="610">
        <f>IFERROR(VLOOKUP($A61,Race_2024_Seasonal!A:X,10,FALSE),0)</f>
        <v>0</v>
      </c>
      <c r="H61" s="610">
        <f>IFERROR(VLOOKUP($A61,Race_2024_Seasonal!A:X,11,FALSE),0)</f>
        <v>0</v>
      </c>
      <c r="I61" s="610">
        <f>IFERROR(VLOOKUP($A61,Race_2024_Seasonal!A:X,12,FALSE),0)</f>
        <v>0</v>
      </c>
      <c r="J61" s="610">
        <f>IFERROR(VLOOKUP($A61,Race_2024_Seasonal!A:X,13,FALSE),0)</f>
        <v>0</v>
      </c>
      <c r="K61" s="610">
        <f>IFERROR(VLOOKUP($A61,Race_2024_Seasonal!A:X,14,FALSE),0)</f>
        <v>0</v>
      </c>
      <c r="L61" s="610">
        <f>IFERROR(VLOOKUP($A61,Race_2024_Seasonal!A:X,15,FALSE),0)</f>
        <v>0</v>
      </c>
      <c r="M61" s="610">
        <f>IFERROR(VLOOKUP($A61,Race_2024_Seasonal!A:X,16,FALSE),0)</f>
        <v>0</v>
      </c>
      <c r="N61" s="610">
        <f>IFERROR(VLOOKUP($A61,Race_2024_Seasonal!A:X,17,FALSE),0)</f>
        <v>0</v>
      </c>
      <c r="O61" s="610">
        <f>IFERROR(VLOOKUP($A61,Race_2024_Seasonal!A:X,18,FALSE),0)</f>
        <v>0</v>
      </c>
      <c r="P61" s="542"/>
      <c r="Q61" s="610">
        <f t="shared" si="0"/>
        <v>0</v>
      </c>
      <c r="R61" s="542"/>
      <c r="S61" s="659">
        <f>Q61-'P&amp;L'!I61</f>
        <v>0</v>
      </c>
    </row>
    <row r="62" spans="1:19" ht="15" x14ac:dyDescent="0.25">
      <c r="A62" s="534" t="s">
        <v>848</v>
      </c>
      <c r="B62" s="534" t="e">
        <f>IFERROR(VLOOKUP(A62,Race_2024_Seasonal!A:C,3,FALSE), VLOOKUP(A62,Race_2024_Seasonal!A:C,3,FALSE))</f>
        <v>#N/A</v>
      </c>
      <c r="C62" s="537" t="s">
        <v>849</v>
      </c>
      <c r="D62" s="650">
        <f>IFERROR(VLOOKUP($A62,Race_2024_Seasonal!A:X,7,FALSE),0)</f>
        <v>0</v>
      </c>
      <c r="E62" s="650">
        <f>IFERROR(VLOOKUP($A62,Race_2024_Seasonal!A:X,8,FALSE),0)</f>
        <v>0</v>
      </c>
      <c r="F62" s="650">
        <f>IFERROR(VLOOKUP($A62,Race_2024_Seasonal!A:X,9,FALSE),0)</f>
        <v>0</v>
      </c>
      <c r="G62" s="650">
        <f>IFERROR(VLOOKUP($A62,Race_2024_Seasonal!A:X,10,FALSE),0)</f>
        <v>0</v>
      </c>
      <c r="H62" s="650">
        <f>IFERROR(VLOOKUP($A62,Race_2024_Seasonal!A:X,11,FALSE),0)</f>
        <v>0</v>
      </c>
      <c r="I62" s="650">
        <f>IFERROR(VLOOKUP($A62,Race_2024_Seasonal!A:X,12,FALSE),0)</f>
        <v>0</v>
      </c>
      <c r="J62" s="650">
        <f>IFERROR(VLOOKUP($A62,Race_2024_Seasonal!A:X,13,FALSE),0)</f>
        <v>0</v>
      </c>
      <c r="K62" s="650">
        <f>IFERROR(VLOOKUP($A62,Race_2024_Seasonal!A:X,14,FALSE),0)</f>
        <v>0</v>
      </c>
      <c r="L62" s="650">
        <f>IFERROR(VLOOKUP($A62,Race_2024_Seasonal!A:X,15,FALSE),0)</f>
        <v>0</v>
      </c>
      <c r="M62" s="650">
        <f>IFERROR(VLOOKUP($A62,Race_2024_Seasonal!A:X,16,FALSE),0)</f>
        <v>0</v>
      </c>
      <c r="N62" s="650">
        <f>IFERROR(VLOOKUP($A62,Race_2024_Seasonal!A:X,17,FALSE),0)</f>
        <v>0</v>
      </c>
      <c r="O62" s="650">
        <f>IFERROR(VLOOKUP($A62,Race_2024_Seasonal!A:X,18,FALSE),0)</f>
        <v>0</v>
      </c>
      <c r="P62" s="542"/>
      <c r="Q62" s="650">
        <f t="shared" si="0"/>
        <v>0</v>
      </c>
      <c r="R62" s="542"/>
      <c r="S62" s="659">
        <f>Q62-'P&amp;L'!I62</f>
        <v>0</v>
      </c>
    </row>
    <row r="63" spans="1:19" ht="15" x14ac:dyDescent="0.25">
      <c r="A63" s="534" t="s">
        <v>850</v>
      </c>
      <c r="B63" s="534" t="e">
        <f>IFERROR(VLOOKUP(A63,Race_2024_Seasonal!A:C,3,FALSE), VLOOKUP(A63,Race_2024_Seasonal!A:C,3,FALSE))</f>
        <v>#N/A</v>
      </c>
      <c r="C63" s="544" t="s">
        <v>849</v>
      </c>
      <c r="D63" s="610">
        <f>IFERROR(VLOOKUP($A63,Race_2024_Seasonal!A:X,7,FALSE),0)</f>
        <v>0</v>
      </c>
      <c r="E63" s="610">
        <f>IFERROR(VLOOKUP($A63,Race_2024_Seasonal!A:X,8,FALSE),0)</f>
        <v>0</v>
      </c>
      <c r="F63" s="610">
        <f>IFERROR(VLOOKUP($A63,Race_2024_Seasonal!A:X,9,FALSE),0)</f>
        <v>0</v>
      </c>
      <c r="G63" s="610">
        <f>IFERROR(VLOOKUP($A63,Race_2024_Seasonal!A:X,10,FALSE),0)</f>
        <v>0</v>
      </c>
      <c r="H63" s="610">
        <f>IFERROR(VLOOKUP($A63,Race_2024_Seasonal!A:X,11,FALSE),0)</f>
        <v>0</v>
      </c>
      <c r="I63" s="610">
        <f>IFERROR(VLOOKUP($A63,Race_2024_Seasonal!A:X,12,FALSE),0)</f>
        <v>0</v>
      </c>
      <c r="J63" s="610">
        <f>IFERROR(VLOOKUP($A63,Race_2024_Seasonal!A:X,13,FALSE),0)</f>
        <v>0</v>
      </c>
      <c r="K63" s="610">
        <f>IFERROR(VLOOKUP($A63,Race_2024_Seasonal!A:X,14,FALSE),0)</f>
        <v>0</v>
      </c>
      <c r="L63" s="610">
        <f>IFERROR(VLOOKUP($A63,Race_2024_Seasonal!A:X,15,FALSE),0)</f>
        <v>0</v>
      </c>
      <c r="M63" s="610">
        <f>IFERROR(VLOOKUP($A63,Race_2024_Seasonal!A:X,16,FALSE),0)</f>
        <v>0</v>
      </c>
      <c r="N63" s="610">
        <f>IFERROR(VLOOKUP($A63,Race_2024_Seasonal!A:X,17,FALSE),0)</f>
        <v>0</v>
      </c>
      <c r="O63" s="610">
        <f>IFERROR(VLOOKUP($A63,Race_2024_Seasonal!A:X,18,FALSE),0)</f>
        <v>0</v>
      </c>
      <c r="P63" s="542"/>
      <c r="Q63" s="610">
        <f t="shared" si="0"/>
        <v>0</v>
      </c>
      <c r="R63" s="542"/>
      <c r="S63" s="659">
        <f>Q63-'P&amp;L'!I63</f>
        <v>0</v>
      </c>
    </row>
    <row r="64" spans="1:19" ht="15" x14ac:dyDescent="0.25">
      <c r="A64" s="603" t="s">
        <v>851</v>
      </c>
      <c r="B64" s="534" t="str">
        <f>IFERROR(VLOOKUP(A64,Race_2024_Seasonal!A:C,3,FALSE), VLOOKUP(A64,Race_2024_Seasonal!A:C,3,FALSE))</f>
        <v>Gross margin</v>
      </c>
      <c r="C64" s="604" t="s">
        <v>852</v>
      </c>
      <c r="D64" s="658">
        <f>IFERROR(VLOOKUP($A64,Race_2024_Seasonal!A:X,7,FALSE),0)</f>
        <v>370539.28399999999</v>
      </c>
      <c r="E64" s="658">
        <f>IFERROR(VLOOKUP($A64,Race_2024_Seasonal!A:X,8,FALSE),0)</f>
        <v>369160.02799999999</v>
      </c>
      <c r="F64" s="658">
        <f>IFERROR(VLOOKUP($A64,Race_2024_Seasonal!A:X,9,FALSE),0)</f>
        <v>362379.33399999997</v>
      </c>
      <c r="G64" s="658">
        <f>IFERROR(VLOOKUP($A64,Race_2024_Seasonal!A:X,10,FALSE),0)</f>
        <v>385671.49200000003</v>
      </c>
      <c r="H64" s="658">
        <f>IFERROR(VLOOKUP($A64,Race_2024_Seasonal!A:X,11,FALSE),0)</f>
        <v>392594.48499999999</v>
      </c>
      <c r="I64" s="658">
        <f>IFERROR(VLOOKUP($A64,Race_2024_Seasonal!A:X,12,FALSE),0)</f>
        <v>361264.98300000001</v>
      </c>
      <c r="J64" s="658">
        <f>IFERROR(VLOOKUP($A64,Race_2024_Seasonal!A:X,13,FALSE),0)</f>
        <v>380653.10600000003</v>
      </c>
      <c r="K64" s="658">
        <f>IFERROR(VLOOKUP($A64,Race_2024_Seasonal!A:X,14,FALSE),0)</f>
        <v>375249.413</v>
      </c>
      <c r="L64" s="658">
        <f>IFERROR(VLOOKUP($A64,Race_2024_Seasonal!A:X,15,FALSE),0)</f>
        <v>323472.10499999998</v>
      </c>
      <c r="M64" s="658">
        <f>IFERROR(VLOOKUP($A64,Race_2024_Seasonal!A:X,16,FALSE),0)</f>
        <v>395199.99599999998</v>
      </c>
      <c r="N64" s="658">
        <f>IFERROR(VLOOKUP($A64,Race_2024_Seasonal!A:X,17,FALSE),0)</f>
        <v>381429.08100000001</v>
      </c>
      <c r="O64" s="658">
        <f>IFERROR(VLOOKUP($A64,Race_2024_Seasonal!A:X,18,FALSE),0)</f>
        <v>316061.46999999997</v>
      </c>
      <c r="P64" s="542"/>
      <c r="Q64" s="658">
        <f t="shared" si="0"/>
        <v>4413674.7769999998</v>
      </c>
      <c r="R64" s="542"/>
      <c r="S64" s="659">
        <f>Q64-'P&amp;L'!I64</f>
        <v>0</v>
      </c>
    </row>
    <row r="65" spans="1:19" ht="15" x14ac:dyDescent="0.25">
      <c r="A65" s="534" t="s">
        <v>853</v>
      </c>
      <c r="B65" s="534" t="str">
        <f>IFERROR(VLOOKUP(A65,Race_2024_Seasonal!A:C,3,FALSE), VLOOKUP(A65,Race_2024_Seasonal!A:C,3,FALSE))</f>
        <v>R, D &amp; E expenses</v>
      </c>
      <c r="C65" s="540" t="s">
        <v>854</v>
      </c>
      <c r="D65" s="657">
        <f>IFERROR(VLOOKUP($A65,Race_2024_Seasonal!A:X,7,FALSE),0)</f>
        <v>-151133.149</v>
      </c>
      <c r="E65" s="657">
        <f>IFERROR(VLOOKUP($A65,Race_2024_Seasonal!A:X,8,FALSE),0)</f>
        <v>-151133.149</v>
      </c>
      <c r="F65" s="657">
        <f>IFERROR(VLOOKUP($A65,Race_2024_Seasonal!A:X,9,FALSE),0)</f>
        <v>-151133.149</v>
      </c>
      <c r="G65" s="657">
        <f>IFERROR(VLOOKUP($A65,Race_2024_Seasonal!A:X,10,FALSE),0)</f>
        <v>-151133.149</v>
      </c>
      <c r="H65" s="657">
        <f>IFERROR(VLOOKUP($A65,Race_2024_Seasonal!A:X,11,FALSE),0)</f>
        <v>-151133.149</v>
      </c>
      <c r="I65" s="657">
        <f>IFERROR(VLOOKUP($A65,Race_2024_Seasonal!A:X,12,FALSE),0)</f>
        <v>-151133.149</v>
      </c>
      <c r="J65" s="657">
        <f>IFERROR(VLOOKUP($A65,Race_2024_Seasonal!A:X,13,FALSE),0)</f>
        <v>-151133.149</v>
      </c>
      <c r="K65" s="657">
        <f>IFERROR(VLOOKUP($A65,Race_2024_Seasonal!A:X,14,FALSE),0)</f>
        <v>-151133.149</v>
      </c>
      <c r="L65" s="657">
        <f>IFERROR(VLOOKUP($A65,Race_2024_Seasonal!A:X,15,FALSE),0)</f>
        <v>-151133.149</v>
      </c>
      <c r="M65" s="657">
        <f>IFERROR(VLOOKUP($A65,Race_2024_Seasonal!A:X,16,FALSE),0)</f>
        <v>-151133.149</v>
      </c>
      <c r="N65" s="657">
        <f>IFERROR(VLOOKUP($A65,Race_2024_Seasonal!A:X,17,FALSE),0)</f>
        <v>-151133.149</v>
      </c>
      <c r="O65" s="657">
        <f>IFERROR(VLOOKUP($A65,Race_2024_Seasonal!A:X,18,FALSE),0)</f>
        <v>-151133.149</v>
      </c>
      <c r="P65" s="542"/>
      <c r="Q65" s="657">
        <f t="shared" si="0"/>
        <v>-1813597.7879999999</v>
      </c>
      <c r="R65" s="542"/>
      <c r="S65" s="659">
        <f>Q65-'P&amp;L'!I65</f>
        <v>0</v>
      </c>
    </row>
    <row r="66" spans="1:19" ht="15" x14ac:dyDescent="0.25">
      <c r="A66" s="534" t="s">
        <v>855</v>
      </c>
      <c r="B66" s="534" t="e">
        <f>IFERROR(VLOOKUP(A66,Race_2024_Seasonal!A:C,3,FALSE), VLOOKUP(A66,Race_2024_Seasonal!A:C,3,FALSE))</f>
        <v>#N/A</v>
      </c>
      <c r="C66" s="548" t="s">
        <v>856</v>
      </c>
      <c r="D66" s="655">
        <f>IFERROR(VLOOKUP($A66,Race_2024_Seasonal!A:X,7,FALSE),0)</f>
        <v>0</v>
      </c>
      <c r="E66" s="655">
        <f>IFERROR(VLOOKUP($A66,Race_2024_Seasonal!A:X,8,FALSE),0)</f>
        <v>0</v>
      </c>
      <c r="F66" s="655">
        <f>IFERROR(VLOOKUP($A66,Race_2024_Seasonal!A:X,9,FALSE),0)</f>
        <v>0</v>
      </c>
      <c r="G66" s="655">
        <f>IFERROR(VLOOKUP($A66,Race_2024_Seasonal!A:X,10,FALSE),0)</f>
        <v>0</v>
      </c>
      <c r="H66" s="655">
        <f>IFERROR(VLOOKUP($A66,Race_2024_Seasonal!A:X,11,FALSE),0)</f>
        <v>0</v>
      </c>
      <c r="I66" s="655">
        <f>IFERROR(VLOOKUP($A66,Race_2024_Seasonal!A:X,12,FALSE),0)</f>
        <v>0</v>
      </c>
      <c r="J66" s="655">
        <f>IFERROR(VLOOKUP($A66,Race_2024_Seasonal!A:X,13,FALSE),0)</f>
        <v>0</v>
      </c>
      <c r="K66" s="655">
        <f>IFERROR(VLOOKUP($A66,Race_2024_Seasonal!A:X,14,FALSE),0)</f>
        <v>0</v>
      </c>
      <c r="L66" s="655">
        <f>IFERROR(VLOOKUP($A66,Race_2024_Seasonal!A:X,15,FALSE),0)</f>
        <v>0</v>
      </c>
      <c r="M66" s="655">
        <f>IFERROR(VLOOKUP($A66,Race_2024_Seasonal!A:X,16,FALSE),0)</f>
        <v>0</v>
      </c>
      <c r="N66" s="655">
        <f>IFERROR(VLOOKUP($A66,Race_2024_Seasonal!A:X,17,FALSE),0)</f>
        <v>0</v>
      </c>
      <c r="O66" s="655">
        <f>IFERROR(VLOOKUP($A66,Race_2024_Seasonal!A:X,18,FALSE),0)</f>
        <v>0</v>
      </c>
      <c r="P66" s="542"/>
      <c r="Q66" s="655">
        <f t="shared" si="0"/>
        <v>0</v>
      </c>
      <c r="R66" s="542"/>
      <c r="S66" s="659">
        <f>Q66-'P&amp;L'!I66</f>
        <v>0</v>
      </c>
    </row>
    <row r="67" spans="1:19" ht="15" x14ac:dyDescent="0.25">
      <c r="A67" s="534" t="s">
        <v>857</v>
      </c>
      <c r="B67" s="534" t="e">
        <f>IFERROR(VLOOKUP(A67,Race_2024_Seasonal!A:C,3,FALSE), VLOOKUP(A67,Race_2024_Seasonal!A:C,3,FALSE))</f>
        <v>#N/A</v>
      </c>
      <c r="C67" s="541" t="s">
        <v>858</v>
      </c>
      <c r="D67" s="610">
        <f>IFERROR(VLOOKUP($A67,Race_2024_Seasonal!A:X,7,FALSE),0)</f>
        <v>0</v>
      </c>
      <c r="E67" s="610">
        <f>IFERROR(VLOOKUP($A67,Race_2024_Seasonal!A:X,8,FALSE),0)</f>
        <v>0</v>
      </c>
      <c r="F67" s="610">
        <f>IFERROR(VLOOKUP($A67,Race_2024_Seasonal!A:X,9,FALSE),0)</f>
        <v>0</v>
      </c>
      <c r="G67" s="610">
        <f>IFERROR(VLOOKUP($A67,Race_2024_Seasonal!A:X,10,FALSE),0)</f>
        <v>0</v>
      </c>
      <c r="H67" s="610">
        <f>IFERROR(VLOOKUP($A67,Race_2024_Seasonal!A:X,11,FALSE),0)</f>
        <v>0</v>
      </c>
      <c r="I67" s="610">
        <f>IFERROR(VLOOKUP($A67,Race_2024_Seasonal!A:X,12,FALSE),0)</f>
        <v>0</v>
      </c>
      <c r="J67" s="610">
        <f>IFERROR(VLOOKUP($A67,Race_2024_Seasonal!A:X,13,FALSE),0)</f>
        <v>0</v>
      </c>
      <c r="K67" s="610">
        <f>IFERROR(VLOOKUP($A67,Race_2024_Seasonal!A:X,14,FALSE),0)</f>
        <v>0</v>
      </c>
      <c r="L67" s="610">
        <f>IFERROR(VLOOKUP($A67,Race_2024_Seasonal!A:X,15,FALSE),0)</f>
        <v>0</v>
      </c>
      <c r="M67" s="610">
        <f>IFERROR(VLOOKUP($A67,Race_2024_Seasonal!A:X,16,FALSE),0)</f>
        <v>0</v>
      </c>
      <c r="N67" s="610">
        <f>IFERROR(VLOOKUP($A67,Race_2024_Seasonal!A:X,17,FALSE),0)</f>
        <v>0</v>
      </c>
      <c r="O67" s="610">
        <f>IFERROR(VLOOKUP($A67,Race_2024_Seasonal!A:X,18,FALSE),0)</f>
        <v>0</v>
      </c>
      <c r="P67" s="542"/>
      <c r="Q67" s="610">
        <f t="shared" si="0"/>
        <v>0</v>
      </c>
      <c r="R67" s="542"/>
      <c r="S67" s="659">
        <f>Q67-'P&amp;L'!I67</f>
        <v>0</v>
      </c>
    </row>
    <row r="68" spans="1:19" ht="15" x14ac:dyDescent="0.25">
      <c r="A68" s="534" t="s">
        <v>859</v>
      </c>
      <c r="B68" s="534" t="e">
        <f>IFERROR(VLOOKUP(A68,Race_2024_Seasonal!A:C,3,FALSE), VLOOKUP(A68,Race_2024_Seasonal!A:C,3,FALSE))</f>
        <v>#N/A</v>
      </c>
      <c r="C68" s="541" t="s">
        <v>860</v>
      </c>
      <c r="D68" s="650">
        <f>IFERROR(VLOOKUP($A68,Race_2024_Seasonal!A:X,7,FALSE),0)</f>
        <v>0</v>
      </c>
      <c r="E68" s="650">
        <f>IFERROR(VLOOKUP($A68,Race_2024_Seasonal!A:X,8,FALSE),0)</f>
        <v>0</v>
      </c>
      <c r="F68" s="650">
        <f>IFERROR(VLOOKUP($A68,Race_2024_Seasonal!A:X,9,FALSE),0)</f>
        <v>0</v>
      </c>
      <c r="G68" s="650">
        <f>IFERROR(VLOOKUP($A68,Race_2024_Seasonal!A:X,10,FALSE),0)</f>
        <v>0</v>
      </c>
      <c r="H68" s="650">
        <f>IFERROR(VLOOKUP($A68,Race_2024_Seasonal!A:X,11,FALSE),0)</f>
        <v>0</v>
      </c>
      <c r="I68" s="650">
        <f>IFERROR(VLOOKUP($A68,Race_2024_Seasonal!A:X,12,FALSE),0)</f>
        <v>0</v>
      </c>
      <c r="J68" s="650">
        <f>IFERROR(VLOOKUP($A68,Race_2024_Seasonal!A:X,13,FALSE),0)</f>
        <v>0</v>
      </c>
      <c r="K68" s="650">
        <f>IFERROR(VLOOKUP($A68,Race_2024_Seasonal!A:X,14,FALSE),0)</f>
        <v>0</v>
      </c>
      <c r="L68" s="650">
        <f>IFERROR(VLOOKUP($A68,Race_2024_Seasonal!A:X,15,FALSE),0)</f>
        <v>0</v>
      </c>
      <c r="M68" s="650">
        <f>IFERROR(VLOOKUP($A68,Race_2024_Seasonal!A:X,16,FALSE),0)</f>
        <v>0</v>
      </c>
      <c r="N68" s="650">
        <f>IFERROR(VLOOKUP($A68,Race_2024_Seasonal!A:X,17,FALSE),0)</f>
        <v>0</v>
      </c>
      <c r="O68" s="650">
        <f>IFERROR(VLOOKUP($A68,Race_2024_Seasonal!A:X,18,FALSE),0)</f>
        <v>0</v>
      </c>
      <c r="P68" s="542"/>
      <c r="Q68" s="650">
        <f t="shared" si="0"/>
        <v>0</v>
      </c>
      <c r="R68" s="542"/>
      <c r="S68" s="659">
        <f>Q68-'P&amp;L'!I68</f>
        <v>0</v>
      </c>
    </row>
    <row r="69" spans="1:19" ht="15" x14ac:dyDescent="0.25">
      <c r="A69" s="534" t="s">
        <v>861</v>
      </c>
      <c r="B69" s="534" t="e">
        <f>IFERROR(VLOOKUP(A69,Race_2024_Seasonal!A:C,3,FALSE), VLOOKUP(A69,Race_2024_Seasonal!A:C,3,FALSE))</f>
        <v>#N/A</v>
      </c>
      <c r="C69" s="548" t="s">
        <v>862</v>
      </c>
      <c r="D69" s="610">
        <f>IFERROR(VLOOKUP($A69,Race_2024_Seasonal!A:X,7,FALSE),0)</f>
        <v>0</v>
      </c>
      <c r="E69" s="610">
        <f>IFERROR(VLOOKUP($A69,Race_2024_Seasonal!A:X,8,FALSE),0)</f>
        <v>0</v>
      </c>
      <c r="F69" s="610">
        <f>IFERROR(VLOOKUP($A69,Race_2024_Seasonal!A:X,9,FALSE),0)</f>
        <v>0</v>
      </c>
      <c r="G69" s="610">
        <f>IFERROR(VLOOKUP($A69,Race_2024_Seasonal!A:X,10,FALSE),0)</f>
        <v>0</v>
      </c>
      <c r="H69" s="610">
        <f>IFERROR(VLOOKUP($A69,Race_2024_Seasonal!A:X,11,FALSE),0)</f>
        <v>0</v>
      </c>
      <c r="I69" s="610">
        <f>IFERROR(VLOOKUP($A69,Race_2024_Seasonal!A:X,12,FALSE),0)</f>
        <v>0</v>
      </c>
      <c r="J69" s="610">
        <f>IFERROR(VLOOKUP($A69,Race_2024_Seasonal!A:X,13,FALSE),0)</f>
        <v>0</v>
      </c>
      <c r="K69" s="610">
        <f>IFERROR(VLOOKUP($A69,Race_2024_Seasonal!A:X,14,FALSE),0)</f>
        <v>0</v>
      </c>
      <c r="L69" s="610">
        <f>IFERROR(VLOOKUP($A69,Race_2024_Seasonal!A:X,15,FALSE),0)</f>
        <v>0</v>
      </c>
      <c r="M69" s="610">
        <f>IFERROR(VLOOKUP($A69,Race_2024_Seasonal!A:X,16,FALSE),0)</f>
        <v>0</v>
      </c>
      <c r="N69" s="610">
        <f>IFERROR(VLOOKUP($A69,Race_2024_Seasonal!A:X,17,FALSE),0)</f>
        <v>0</v>
      </c>
      <c r="O69" s="610">
        <f>IFERROR(VLOOKUP($A69,Race_2024_Seasonal!A:X,18,FALSE),0)</f>
        <v>0</v>
      </c>
      <c r="P69" s="542"/>
      <c r="Q69" s="610">
        <f t="shared" si="0"/>
        <v>0</v>
      </c>
      <c r="R69" s="542"/>
      <c r="S69" s="659">
        <f>Q69-'P&amp;L'!I69</f>
        <v>0</v>
      </c>
    </row>
    <row r="70" spans="1:19" ht="15" x14ac:dyDescent="0.25">
      <c r="A70" s="534" t="s">
        <v>863</v>
      </c>
      <c r="B70" s="534" t="e">
        <f>IFERROR(VLOOKUP(A70,Race_2024_Seasonal!A:C,3,FALSE), VLOOKUP(A70,Race_2024_Seasonal!A:C,3,FALSE))</f>
        <v>#N/A</v>
      </c>
      <c r="C70" s="541" t="s">
        <v>864</v>
      </c>
      <c r="D70" s="613">
        <f>IFERROR(VLOOKUP($A70,Race_2024_Seasonal!A:X,7,FALSE),0)</f>
        <v>0</v>
      </c>
      <c r="E70" s="613">
        <f>IFERROR(VLOOKUP($A70,Race_2024_Seasonal!A:X,8,FALSE),0)</f>
        <v>0</v>
      </c>
      <c r="F70" s="613">
        <f>IFERROR(VLOOKUP($A70,Race_2024_Seasonal!A:X,9,FALSE),0)</f>
        <v>0</v>
      </c>
      <c r="G70" s="613">
        <f>IFERROR(VLOOKUP($A70,Race_2024_Seasonal!A:X,10,FALSE),0)</f>
        <v>0</v>
      </c>
      <c r="H70" s="613">
        <f>IFERROR(VLOOKUP($A70,Race_2024_Seasonal!A:X,11,FALSE),0)</f>
        <v>0</v>
      </c>
      <c r="I70" s="613">
        <f>IFERROR(VLOOKUP($A70,Race_2024_Seasonal!A:X,12,FALSE),0)</f>
        <v>0</v>
      </c>
      <c r="J70" s="613">
        <f>IFERROR(VLOOKUP($A70,Race_2024_Seasonal!A:X,13,FALSE),0)</f>
        <v>0</v>
      </c>
      <c r="K70" s="613">
        <f>IFERROR(VLOOKUP($A70,Race_2024_Seasonal!A:X,14,FALSE),0)</f>
        <v>0</v>
      </c>
      <c r="L70" s="613">
        <f>IFERROR(VLOOKUP($A70,Race_2024_Seasonal!A:X,15,FALSE),0)</f>
        <v>0</v>
      </c>
      <c r="M70" s="613">
        <f>IFERROR(VLOOKUP($A70,Race_2024_Seasonal!A:X,16,FALSE),0)</f>
        <v>0</v>
      </c>
      <c r="N70" s="613">
        <f>IFERROR(VLOOKUP($A70,Race_2024_Seasonal!A:X,17,FALSE),0)</f>
        <v>0</v>
      </c>
      <c r="O70" s="613">
        <f>IFERROR(VLOOKUP($A70,Race_2024_Seasonal!A:X,18,FALSE),0)</f>
        <v>0</v>
      </c>
      <c r="P70" s="542"/>
      <c r="Q70" s="613">
        <f t="shared" si="0"/>
        <v>0</v>
      </c>
      <c r="R70" s="542"/>
      <c r="S70" s="659">
        <f>Q70-'P&amp;L'!I70</f>
        <v>0</v>
      </c>
    </row>
    <row r="71" spans="1:19" ht="15" x14ac:dyDescent="0.25">
      <c r="A71" s="534" t="s">
        <v>865</v>
      </c>
      <c r="B71" s="534" t="e">
        <f>IFERROR(VLOOKUP(A71,Race_2024_Seasonal!A:C,3,FALSE), VLOOKUP(A71,Race_2024_Seasonal!A:C,3,FALSE))</f>
        <v>#N/A</v>
      </c>
      <c r="C71" s="541" t="s">
        <v>866</v>
      </c>
      <c r="D71" s="613">
        <f>IFERROR(VLOOKUP($A71,Race_2024_Seasonal!A:X,7,FALSE),0)</f>
        <v>0</v>
      </c>
      <c r="E71" s="613">
        <f>IFERROR(VLOOKUP($A71,Race_2024_Seasonal!A:X,8,FALSE),0)</f>
        <v>0</v>
      </c>
      <c r="F71" s="613">
        <f>IFERROR(VLOOKUP($A71,Race_2024_Seasonal!A:X,9,FALSE),0)</f>
        <v>0</v>
      </c>
      <c r="G71" s="613">
        <f>IFERROR(VLOOKUP($A71,Race_2024_Seasonal!A:X,10,FALSE),0)</f>
        <v>0</v>
      </c>
      <c r="H71" s="613">
        <f>IFERROR(VLOOKUP($A71,Race_2024_Seasonal!A:X,11,FALSE),0)</f>
        <v>0</v>
      </c>
      <c r="I71" s="613">
        <f>IFERROR(VLOOKUP($A71,Race_2024_Seasonal!A:X,12,FALSE),0)</f>
        <v>0</v>
      </c>
      <c r="J71" s="613">
        <f>IFERROR(VLOOKUP($A71,Race_2024_Seasonal!A:X,13,FALSE),0)</f>
        <v>0</v>
      </c>
      <c r="K71" s="613">
        <f>IFERROR(VLOOKUP($A71,Race_2024_Seasonal!A:X,14,FALSE),0)</f>
        <v>0</v>
      </c>
      <c r="L71" s="613">
        <f>IFERROR(VLOOKUP($A71,Race_2024_Seasonal!A:X,15,FALSE),0)</f>
        <v>0</v>
      </c>
      <c r="M71" s="613">
        <f>IFERROR(VLOOKUP($A71,Race_2024_Seasonal!A:X,16,FALSE),0)</f>
        <v>0</v>
      </c>
      <c r="N71" s="613">
        <f>IFERROR(VLOOKUP($A71,Race_2024_Seasonal!A:X,17,FALSE),0)</f>
        <v>0</v>
      </c>
      <c r="O71" s="613">
        <f>IFERROR(VLOOKUP($A71,Race_2024_Seasonal!A:X,18,FALSE),0)</f>
        <v>0</v>
      </c>
      <c r="P71" s="542"/>
      <c r="Q71" s="613">
        <f t="shared" si="0"/>
        <v>0</v>
      </c>
      <c r="R71" s="542"/>
      <c r="S71" s="659">
        <f>Q71-'P&amp;L'!I71</f>
        <v>0</v>
      </c>
    </row>
    <row r="72" spans="1:19" ht="15" x14ac:dyDescent="0.25">
      <c r="A72" s="534" t="s">
        <v>867</v>
      </c>
      <c r="B72" s="534" t="e">
        <f>IFERROR(VLOOKUP(A72,Race_2024_Seasonal!A:C,3,FALSE), VLOOKUP(A72,Race_2024_Seasonal!A:C,3,FALSE))</f>
        <v>#N/A</v>
      </c>
      <c r="C72" s="548" t="s">
        <v>868</v>
      </c>
      <c r="D72" s="653">
        <f>IFERROR(VLOOKUP($A72,Race_2024_Seasonal!A:X,7,FALSE),0)</f>
        <v>0</v>
      </c>
      <c r="E72" s="653">
        <f>IFERROR(VLOOKUP($A72,Race_2024_Seasonal!A:X,8,FALSE),0)</f>
        <v>0</v>
      </c>
      <c r="F72" s="653">
        <f>IFERROR(VLOOKUP($A72,Race_2024_Seasonal!A:X,9,FALSE),0)</f>
        <v>0</v>
      </c>
      <c r="G72" s="653">
        <f>IFERROR(VLOOKUP($A72,Race_2024_Seasonal!A:X,10,FALSE),0)</f>
        <v>0</v>
      </c>
      <c r="H72" s="653">
        <f>IFERROR(VLOOKUP($A72,Race_2024_Seasonal!A:X,11,FALSE),0)</f>
        <v>0</v>
      </c>
      <c r="I72" s="653">
        <f>IFERROR(VLOOKUP($A72,Race_2024_Seasonal!A:X,12,FALSE),0)</f>
        <v>0</v>
      </c>
      <c r="J72" s="653">
        <f>IFERROR(VLOOKUP($A72,Race_2024_Seasonal!A:X,13,FALSE),0)</f>
        <v>0</v>
      </c>
      <c r="K72" s="653">
        <f>IFERROR(VLOOKUP($A72,Race_2024_Seasonal!A:X,14,FALSE),0)</f>
        <v>0</v>
      </c>
      <c r="L72" s="653">
        <f>IFERROR(VLOOKUP($A72,Race_2024_Seasonal!A:X,15,FALSE),0)</f>
        <v>0</v>
      </c>
      <c r="M72" s="653">
        <f>IFERROR(VLOOKUP($A72,Race_2024_Seasonal!A:X,16,FALSE),0)</f>
        <v>0</v>
      </c>
      <c r="N72" s="653">
        <f>IFERROR(VLOOKUP($A72,Race_2024_Seasonal!A:X,17,FALSE),0)</f>
        <v>0</v>
      </c>
      <c r="O72" s="653">
        <f>IFERROR(VLOOKUP($A72,Race_2024_Seasonal!A:X,18,FALSE),0)</f>
        <v>0</v>
      </c>
      <c r="P72" s="564"/>
      <c r="Q72" s="653">
        <f t="shared" ref="Q72:Q135" si="1">SUM(D72:O72)</f>
        <v>0</v>
      </c>
      <c r="R72" s="542"/>
      <c r="S72" s="659">
        <f>Q72-'P&amp;L'!I72</f>
        <v>0</v>
      </c>
    </row>
    <row r="73" spans="1:19" ht="15" x14ac:dyDescent="0.25">
      <c r="A73" s="534" t="s">
        <v>869</v>
      </c>
      <c r="B73" s="534" t="e">
        <f>IFERROR(VLOOKUP(A73,Race_2024_Seasonal!A:C,3,FALSE), VLOOKUP(A73,Race_2024_Seasonal!A:C,3,FALSE))</f>
        <v>#N/A</v>
      </c>
      <c r="C73" s="541" t="s">
        <v>870</v>
      </c>
      <c r="D73" s="648">
        <f>IFERROR(VLOOKUP($A73,Race_2024_Seasonal!A:X,7,FALSE),0)</f>
        <v>0</v>
      </c>
      <c r="E73" s="648">
        <f>IFERROR(VLOOKUP($A73,Race_2024_Seasonal!A:X,8,FALSE),0)</f>
        <v>0</v>
      </c>
      <c r="F73" s="648">
        <f>IFERROR(VLOOKUP($A73,Race_2024_Seasonal!A:X,9,FALSE),0)</f>
        <v>0</v>
      </c>
      <c r="G73" s="648">
        <f>IFERROR(VLOOKUP($A73,Race_2024_Seasonal!A:X,10,FALSE),0)</f>
        <v>0</v>
      </c>
      <c r="H73" s="648">
        <f>IFERROR(VLOOKUP($A73,Race_2024_Seasonal!A:X,11,FALSE),0)</f>
        <v>0</v>
      </c>
      <c r="I73" s="648">
        <f>IFERROR(VLOOKUP($A73,Race_2024_Seasonal!A:X,12,FALSE),0)</f>
        <v>0</v>
      </c>
      <c r="J73" s="648">
        <f>IFERROR(VLOOKUP($A73,Race_2024_Seasonal!A:X,13,FALSE),0)</f>
        <v>0</v>
      </c>
      <c r="K73" s="648">
        <f>IFERROR(VLOOKUP($A73,Race_2024_Seasonal!A:X,14,FALSE),0)</f>
        <v>0</v>
      </c>
      <c r="L73" s="648">
        <f>IFERROR(VLOOKUP($A73,Race_2024_Seasonal!A:X,15,FALSE),0)</f>
        <v>0</v>
      </c>
      <c r="M73" s="648">
        <f>IFERROR(VLOOKUP($A73,Race_2024_Seasonal!A:X,16,FALSE),0)</f>
        <v>0</v>
      </c>
      <c r="N73" s="648">
        <f>IFERROR(VLOOKUP($A73,Race_2024_Seasonal!A:X,17,FALSE),0)</f>
        <v>0</v>
      </c>
      <c r="O73" s="648">
        <f>IFERROR(VLOOKUP($A73,Race_2024_Seasonal!A:X,18,FALSE),0)</f>
        <v>0</v>
      </c>
      <c r="P73" s="564"/>
      <c r="Q73" s="648">
        <f t="shared" si="1"/>
        <v>0</v>
      </c>
      <c r="R73" s="542"/>
      <c r="S73" s="659">
        <f>Q73-'P&amp;L'!I73</f>
        <v>0</v>
      </c>
    </row>
    <row r="74" spans="1:19" ht="15" x14ac:dyDescent="0.25">
      <c r="A74" s="534" t="s">
        <v>871</v>
      </c>
      <c r="B74" s="534" t="e">
        <f>IFERROR(VLOOKUP(A74,Race_2024_Seasonal!A:C,3,FALSE), VLOOKUP(A74,Race_2024_Seasonal!A:C,3,FALSE))</f>
        <v>#N/A</v>
      </c>
      <c r="C74" s="541" t="s">
        <v>872</v>
      </c>
      <c r="D74" s="613">
        <f>IFERROR(VLOOKUP($A74,Race_2024_Seasonal!A:X,7,FALSE),0)</f>
        <v>0</v>
      </c>
      <c r="E74" s="613">
        <f>IFERROR(VLOOKUP($A74,Race_2024_Seasonal!A:X,8,FALSE),0)</f>
        <v>0</v>
      </c>
      <c r="F74" s="613">
        <f>IFERROR(VLOOKUP($A74,Race_2024_Seasonal!A:X,9,FALSE),0)</f>
        <v>0</v>
      </c>
      <c r="G74" s="613">
        <f>IFERROR(VLOOKUP($A74,Race_2024_Seasonal!A:X,10,FALSE),0)</f>
        <v>0</v>
      </c>
      <c r="H74" s="613">
        <f>IFERROR(VLOOKUP($A74,Race_2024_Seasonal!A:X,11,FALSE),0)</f>
        <v>0</v>
      </c>
      <c r="I74" s="613">
        <f>IFERROR(VLOOKUP($A74,Race_2024_Seasonal!A:X,12,FALSE),0)</f>
        <v>0</v>
      </c>
      <c r="J74" s="613">
        <f>IFERROR(VLOOKUP($A74,Race_2024_Seasonal!A:X,13,FALSE),0)</f>
        <v>0</v>
      </c>
      <c r="K74" s="613">
        <f>IFERROR(VLOOKUP($A74,Race_2024_Seasonal!A:X,14,FALSE),0)</f>
        <v>0</v>
      </c>
      <c r="L74" s="613">
        <f>IFERROR(VLOOKUP($A74,Race_2024_Seasonal!A:X,15,FALSE),0)</f>
        <v>0</v>
      </c>
      <c r="M74" s="613">
        <f>IFERROR(VLOOKUP($A74,Race_2024_Seasonal!A:X,16,FALSE),0)</f>
        <v>0</v>
      </c>
      <c r="N74" s="613">
        <f>IFERROR(VLOOKUP($A74,Race_2024_Seasonal!A:X,17,FALSE),0)</f>
        <v>0</v>
      </c>
      <c r="O74" s="613">
        <f>IFERROR(VLOOKUP($A74,Race_2024_Seasonal!A:X,18,FALSE),0)</f>
        <v>0</v>
      </c>
      <c r="P74" s="542"/>
      <c r="Q74" s="613">
        <f t="shared" si="1"/>
        <v>0</v>
      </c>
      <c r="R74" s="542"/>
      <c r="S74" s="659">
        <f>Q74-'P&amp;L'!I74</f>
        <v>0</v>
      </c>
    </row>
    <row r="75" spans="1:19" ht="15" x14ac:dyDescent="0.25">
      <c r="A75" s="534" t="s">
        <v>873</v>
      </c>
      <c r="B75" s="534" t="e">
        <f>IFERROR(VLOOKUP(A75,Race_2024_Seasonal!A:C,3,FALSE), VLOOKUP(A75,Race_2024_Seasonal!A:C,3,FALSE))</f>
        <v>#N/A</v>
      </c>
      <c r="C75" s="548" t="s">
        <v>874</v>
      </c>
      <c r="D75" s="613">
        <f>IFERROR(VLOOKUP($A75,Race_2024_Seasonal!A:X,7,FALSE),0)</f>
        <v>0</v>
      </c>
      <c r="E75" s="613">
        <f>IFERROR(VLOOKUP($A75,Race_2024_Seasonal!A:X,8,FALSE),0)</f>
        <v>0</v>
      </c>
      <c r="F75" s="613">
        <f>IFERROR(VLOOKUP($A75,Race_2024_Seasonal!A:X,9,FALSE),0)</f>
        <v>0</v>
      </c>
      <c r="G75" s="613">
        <f>IFERROR(VLOOKUP($A75,Race_2024_Seasonal!A:X,10,FALSE),0)</f>
        <v>0</v>
      </c>
      <c r="H75" s="613">
        <f>IFERROR(VLOOKUP($A75,Race_2024_Seasonal!A:X,11,FALSE),0)</f>
        <v>0</v>
      </c>
      <c r="I75" s="613">
        <f>IFERROR(VLOOKUP($A75,Race_2024_Seasonal!A:X,12,FALSE),0)</f>
        <v>0</v>
      </c>
      <c r="J75" s="613">
        <f>IFERROR(VLOOKUP($A75,Race_2024_Seasonal!A:X,13,FALSE),0)</f>
        <v>0</v>
      </c>
      <c r="K75" s="613">
        <f>IFERROR(VLOOKUP($A75,Race_2024_Seasonal!A:X,14,FALSE),0)</f>
        <v>0</v>
      </c>
      <c r="L75" s="613">
        <f>IFERROR(VLOOKUP($A75,Race_2024_Seasonal!A:X,15,FALSE),0)</f>
        <v>0</v>
      </c>
      <c r="M75" s="613">
        <f>IFERROR(VLOOKUP($A75,Race_2024_Seasonal!A:X,16,FALSE),0)</f>
        <v>0</v>
      </c>
      <c r="N75" s="613">
        <f>IFERROR(VLOOKUP($A75,Race_2024_Seasonal!A:X,17,FALSE),0)</f>
        <v>0</v>
      </c>
      <c r="O75" s="613">
        <f>IFERROR(VLOOKUP($A75,Race_2024_Seasonal!A:X,18,FALSE),0)</f>
        <v>0</v>
      </c>
      <c r="P75" s="542"/>
      <c r="Q75" s="613">
        <f t="shared" si="1"/>
        <v>0</v>
      </c>
      <c r="R75" s="542"/>
      <c r="S75" s="659">
        <f>Q75-'P&amp;L'!I75</f>
        <v>0</v>
      </c>
    </row>
    <row r="76" spans="1:19" ht="15" x14ac:dyDescent="0.25">
      <c r="A76" s="534" t="s">
        <v>875</v>
      </c>
      <c r="B76" s="534" t="e">
        <f>IFERROR(VLOOKUP(A76,Race_2024_Seasonal!A:C,3,FALSE), VLOOKUP(A76,Race_2024_Seasonal!A:C,3,FALSE))</f>
        <v>#N/A</v>
      </c>
      <c r="C76" s="541" t="s">
        <v>876</v>
      </c>
      <c r="D76" s="613">
        <f>IFERROR(VLOOKUP($A76,Race_2024_Seasonal!A:X,7,FALSE),0)</f>
        <v>0</v>
      </c>
      <c r="E76" s="613">
        <f>IFERROR(VLOOKUP($A76,Race_2024_Seasonal!A:X,8,FALSE),0)</f>
        <v>0</v>
      </c>
      <c r="F76" s="613">
        <f>IFERROR(VLOOKUP($A76,Race_2024_Seasonal!A:X,9,FALSE),0)</f>
        <v>0</v>
      </c>
      <c r="G76" s="613">
        <f>IFERROR(VLOOKUP($A76,Race_2024_Seasonal!A:X,10,FALSE),0)</f>
        <v>0</v>
      </c>
      <c r="H76" s="613">
        <f>IFERROR(VLOOKUP($A76,Race_2024_Seasonal!A:X,11,FALSE),0)</f>
        <v>0</v>
      </c>
      <c r="I76" s="613">
        <f>IFERROR(VLOOKUP($A76,Race_2024_Seasonal!A:X,12,FALSE),0)</f>
        <v>0</v>
      </c>
      <c r="J76" s="613">
        <f>IFERROR(VLOOKUP($A76,Race_2024_Seasonal!A:X,13,FALSE),0)</f>
        <v>0</v>
      </c>
      <c r="K76" s="613">
        <f>IFERROR(VLOOKUP($A76,Race_2024_Seasonal!A:X,14,FALSE),0)</f>
        <v>0</v>
      </c>
      <c r="L76" s="613">
        <f>IFERROR(VLOOKUP($A76,Race_2024_Seasonal!A:X,15,FALSE),0)</f>
        <v>0</v>
      </c>
      <c r="M76" s="613">
        <f>IFERROR(VLOOKUP($A76,Race_2024_Seasonal!A:X,16,FALSE),0)</f>
        <v>0</v>
      </c>
      <c r="N76" s="613">
        <f>IFERROR(VLOOKUP($A76,Race_2024_Seasonal!A:X,17,FALSE),0)</f>
        <v>0</v>
      </c>
      <c r="O76" s="613">
        <f>IFERROR(VLOOKUP($A76,Race_2024_Seasonal!A:X,18,FALSE),0)</f>
        <v>0</v>
      </c>
      <c r="P76" s="542"/>
      <c r="Q76" s="613">
        <f t="shared" si="1"/>
        <v>0</v>
      </c>
      <c r="R76" s="542"/>
      <c r="S76" s="659">
        <f>Q76-'P&amp;L'!I76</f>
        <v>0</v>
      </c>
    </row>
    <row r="77" spans="1:19" ht="15" x14ac:dyDescent="0.25">
      <c r="A77" s="534" t="s">
        <v>877</v>
      </c>
      <c r="B77" s="534" t="str">
        <f>IFERROR(VLOOKUP(A77,Race_2024_Seasonal!A:C,3,FALSE), VLOOKUP(A77,Race_2024_Seasonal!A:C,3,FALSE))</f>
        <v>R,D&amp;E alloc. in</v>
      </c>
      <c r="C77" s="537" t="s">
        <v>878</v>
      </c>
      <c r="D77" s="613">
        <f>IFERROR(VLOOKUP($A77,Race_2024_Seasonal!A:X,7,FALSE),0)</f>
        <v>-151133.149</v>
      </c>
      <c r="E77" s="613">
        <f>IFERROR(VLOOKUP($A77,Race_2024_Seasonal!A:X,8,FALSE),0)</f>
        <v>-151133.149</v>
      </c>
      <c r="F77" s="613">
        <f>IFERROR(VLOOKUP($A77,Race_2024_Seasonal!A:X,9,FALSE),0)</f>
        <v>-151133.149</v>
      </c>
      <c r="G77" s="613">
        <f>IFERROR(VLOOKUP($A77,Race_2024_Seasonal!A:X,10,FALSE),0)</f>
        <v>-151133.149</v>
      </c>
      <c r="H77" s="613">
        <f>IFERROR(VLOOKUP($A77,Race_2024_Seasonal!A:X,11,FALSE),0)</f>
        <v>-151133.149</v>
      </c>
      <c r="I77" s="613">
        <f>IFERROR(VLOOKUP($A77,Race_2024_Seasonal!A:X,12,FALSE),0)</f>
        <v>-151133.149</v>
      </c>
      <c r="J77" s="613">
        <f>IFERROR(VLOOKUP($A77,Race_2024_Seasonal!A:X,13,FALSE),0)</f>
        <v>-151133.149</v>
      </c>
      <c r="K77" s="613">
        <f>IFERROR(VLOOKUP($A77,Race_2024_Seasonal!A:X,14,FALSE),0)</f>
        <v>-151133.149</v>
      </c>
      <c r="L77" s="613">
        <f>IFERROR(VLOOKUP($A77,Race_2024_Seasonal!A:X,15,FALSE),0)</f>
        <v>-151133.149</v>
      </c>
      <c r="M77" s="613">
        <f>IFERROR(VLOOKUP($A77,Race_2024_Seasonal!A:X,16,FALSE),0)</f>
        <v>-151133.149</v>
      </c>
      <c r="N77" s="613">
        <f>IFERROR(VLOOKUP($A77,Race_2024_Seasonal!A:X,17,FALSE),0)</f>
        <v>-151133.149</v>
      </c>
      <c r="O77" s="613">
        <f>IFERROR(VLOOKUP($A77,Race_2024_Seasonal!A:X,18,FALSE),0)</f>
        <v>-151133.149</v>
      </c>
      <c r="P77" s="542"/>
      <c r="Q77" s="613">
        <f t="shared" si="1"/>
        <v>-1813597.7879999999</v>
      </c>
      <c r="R77" s="542"/>
      <c r="S77" s="659">
        <f>Q77-'P&amp;L'!I77</f>
        <v>0</v>
      </c>
    </row>
    <row r="78" spans="1:19" ht="15" x14ac:dyDescent="0.25">
      <c r="A78" s="534" t="s">
        <v>879</v>
      </c>
      <c r="B78" s="534" t="e">
        <f>IFERROR(VLOOKUP(A78,Race_2024_Seasonal!A:C,3,FALSE), VLOOKUP(A78,Race_2024_Seasonal!A:C,3,FALSE))</f>
        <v>#N/A</v>
      </c>
      <c r="C78" s="537" t="s">
        <v>880</v>
      </c>
      <c r="D78" s="648">
        <f>IFERROR(VLOOKUP($A78,Race_2024_Seasonal!A:X,7,FALSE),0)</f>
        <v>0</v>
      </c>
      <c r="E78" s="648">
        <f>IFERROR(VLOOKUP($A78,Race_2024_Seasonal!A:X,8,FALSE),0)</f>
        <v>0</v>
      </c>
      <c r="F78" s="648">
        <f>IFERROR(VLOOKUP($A78,Race_2024_Seasonal!A:X,9,FALSE),0)</f>
        <v>0</v>
      </c>
      <c r="G78" s="648">
        <f>IFERROR(VLOOKUP($A78,Race_2024_Seasonal!A:X,10,FALSE),0)</f>
        <v>0</v>
      </c>
      <c r="H78" s="648">
        <f>IFERROR(VLOOKUP($A78,Race_2024_Seasonal!A:X,11,FALSE),0)</f>
        <v>0</v>
      </c>
      <c r="I78" s="648">
        <f>IFERROR(VLOOKUP($A78,Race_2024_Seasonal!A:X,12,FALSE),0)</f>
        <v>0</v>
      </c>
      <c r="J78" s="648">
        <f>IFERROR(VLOOKUP($A78,Race_2024_Seasonal!A:X,13,FALSE),0)</f>
        <v>0</v>
      </c>
      <c r="K78" s="648">
        <f>IFERROR(VLOOKUP($A78,Race_2024_Seasonal!A:X,14,FALSE),0)</f>
        <v>0</v>
      </c>
      <c r="L78" s="648">
        <f>IFERROR(VLOOKUP($A78,Race_2024_Seasonal!A:X,15,FALSE),0)</f>
        <v>0</v>
      </c>
      <c r="M78" s="648">
        <f>IFERROR(VLOOKUP($A78,Race_2024_Seasonal!A:X,16,FALSE),0)</f>
        <v>0</v>
      </c>
      <c r="N78" s="648">
        <f>IFERROR(VLOOKUP($A78,Race_2024_Seasonal!A:X,17,FALSE),0)</f>
        <v>0</v>
      </c>
      <c r="O78" s="648">
        <f>IFERROR(VLOOKUP($A78,Race_2024_Seasonal!A:X,18,FALSE),0)</f>
        <v>0</v>
      </c>
      <c r="P78" s="542"/>
      <c r="Q78" s="648">
        <f t="shared" si="1"/>
        <v>0</v>
      </c>
      <c r="R78" s="542"/>
      <c r="S78" s="659">
        <f>Q78-'P&amp;L'!I78</f>
        <v>0</v>
      </c>
    </row>
    <row r="79" spans="1:19" ht="15" x14ac:dyDescent="0.25">
      <c r="A79" s="534" t="s">
        <v>881</v>
      </c>
      <c r="B79" s="534" t="e">
        <f>IFERROR(VLOOKUP(A79,Race_2024_Seasonal!A:C,3,FALSE), VLOOKUP(A79,Race_2024_Seasonal!A:C,3,FALSE))</f>
        <v>#N/A</v>
      </c>
      <c r="C79" s="537" t="s">
        <v>882</v>
      </c>
      <c r="D79" s="613">
        <f>IFERROR(VLOOKUP($A79,Race_2024_Seasonal!A:X,7,FALSE),0)</f>
        <v>0</v>
      </c>
      <c r="E79" s="613">
        <f>IFERROR(VLOOKUP($A79,Race_2024_Seasonal!A:X,8,FALSE),0)</f>
        <v>0</v>
      </c>
      <c r="F79" s="613">
        <f>IFERROR(VLOOKUP($A79,Race_2024_Seasonal!A:X,9,FALSE),0)</f>
        <v>0</v>
      </c>
      <c r="G79" s="613">
        <f>IFERROR(VLOOKUP($A79,Race_2024_Seasonal!A:X,10,FALSE),0)</f>
        <v>0</v>
      </c>
      <c r="H79" s="613">
        <f>IFERROR(VLOOKUP($A79,Race_2024_Seasonal!A:X,11,FALSE),0)</f>
        <v>0</v>
      </c>
      <c r="I79" s="613">
        <f>IFERROR(VLOOKUP($A79,Race_2024_Seasonal!A:X,12,FALSE),0)</f>
        <v>0</v>
      </c>
      <c r="J79" s="613">
        <f>IFERROR(VLOOKUP($A79,Race_2024_Seasonal!A:X,13,FALSE),0)</f>
        <v>0</v>
      </c>
      <c r="K79" s="613">
        <f>IFERROR(VLOOKUP($A79,Race_2024_Seasonal!A:X,14,FALSE),0)</f>
        <v>0</v>
      </c>
      <c r="L79" s="613">
        <f>IFERROR(VLOOKUP($A79,Race_2024_Seasonal!A:X,15,FALSE),0)</f>
        <v>0</v>
      </c>
      <c r="M79" s="613">
        <f>IFERROR(VLOOKUP($A79,Race_2024_Seasonal!A:X,16,FALSE),0)</f>
        <v>0</v>
      </c>
      <c r="N79" s="613">
        <f>IFERROR(VLOOKUP($A79,Race_2024_Seasonal!A:X,17,FALSE),0)</f>
        <v>0</v>
      </c>
      <c r="O79" s="613">
        <f>IFERROR(VLOOKUP($A79,Race_2024_Seasonal!A:X,18,FALSE),0)</f>
        <v>0</v>
      </c>
      <c r="P79" s="542"/>
      <c r="Q79" s="613">
        <f t="shared" si="1"/>
        <v>0</v>
      </c>
      <c r="R79" s="542"/>
      <c r="S79" s="659">
        <f>Q79-'P&amp;L'!I79</f>
        <v>0</v>
      </c>
    </row>
    <row r="80" spans="1:19" ht="15" x14ac:dyDescent="0.25">
      <c r="A80" s="534" t="s">
        <v>883</v>
      </c>
      <c r="B80" s="534" t="str">
        <f>IFERROR(VLOOKUP(A80,Race_2024_Seasonal!A:C,3,FALSE), VLOOKUP(A80,Race_2024_Seasonal!A:C,3,FALSE))</f>
        <v>Sales&amp;distrib.exp.</v>
      </c>
      <c r="C80" s="540" t="s">
        <v>884</v>
      </c>
      <c r="D80" s="653">
        <f>IFERROR(VLOOKUP($A80,Race_2024_Seasonal!A:X,7,FALSE),0)</f>
        <v>-30636.366999999998</v>
      </c>
      <c r="E80" s="653">
        <f>IFERROR(VLOOKUP($A80,Race_2024_Seasonal!A:X,8,FALSE),0)</f>
        <v>-29758.786</v>
      </c>
      <c r="F80" s="653">
        <f>IFERROR(VLOOKUP($A80,Race_2024_Seasonal!A:X,9,FALSE),0)</f>
        <v>-29343.991000000002</v>
      </c>
      <c r="G80" s="653">
        <f>IFERROR(VLOOKUP($A80,Race_2024_Seasonal!A:X,10,FALSE),0)</f>
        <v>-28313.891</v>
      </c>
      <c r="H80" s="653">
        <f>IFERROR(VLOOKUP($A80,Race_2024_Seasonal!A:X,11,FALSE),0)</f>
        <v>-28908.937000000002</v>
      </c>
      <c r="I80" s="653">
        <f>IFERROR(VLOOKUP($A80,Race_2024_Seasonal!A:X,12,FALSE),0)</f>
        <v>-28583.066999999999</v>
      </c>
      <c r="J80" s="653">
        <f>IFERROR(VLOOKUP($A80,Race_2024_Seasonal!A:X,13,FALSE),0)</f>
        <v>-30521.702000000001</v>
      </c>
      <c r="K80" s="653">
        <f>IFERROR(VLOOKUP($A80,Race_2024_Seasonal!A:X,14,FALSE),0)</f>
        <v>-29049.241000000002</v>
      </c>
      <c r="L80" s="653">
        <f>IFERROR(VLOOKUP($A80,Race_2024_Seasonal!A:X,15,FALSE),0)</f>
        <v>-29315.136999999999</v>
      </c>
      <c r="M80" s="653">
        <f>IFERROR(VLOOKUP($A80,Race_2024_Seasonal!A:X,16,FALSE),0)</f>
        <v>-28554.202000000001</v>
      </c>
      <c r="N80" s="653">
        <f>IFERROR(VLOOKUP($A80,Race_2024_Seasonal!A:X,17,FALSE),0)</f>
        <v>-28861.21</v>
      </c>
      <c r="O80" s="653">
        <f>IFERROR(VLOOKUP($A80,Race_2024_Seasonal!A:X,18,FALSE),0)</f>
        <v>-28826.367999999999</v>
      </c>
      <c r="P80" s="542"/>
      <c r="Q80" s="653">
        <f t="shared" si="1"/>
        <v>-350672.89900000003</v>
      </c>
      <c r="R80" s="542"/>
      <c r="S80" s="659">
        <f>Q80-'P&amp;L'!I80</f>
        <v>0</v>
      </c>
    </row>
    <row r="81" spans="1:19" ht="15" x14ac:dyDescent="0.25">
      <c r="A81" s="534" t="s">
        <v>885</v>
      </c>
      <c r="B81" s="534" t="str">
        <f>IFERROR(VLOOKUP(A81,Race_2024_Seasonal!A:C,3,FALSE), VLOOKUP(A81,Race_2024_Seasonal!A:C,3,FALSE))</f>
        <v>PE selling</v>
      </c>
      <c r="C81" s="544" t="s">
        <v>886</v>
      </c>
      <c r="D81" s="648">
        <f>IFERROR(VLOOKUP($A81,Race_2024_Seasonal!A:X,7,FALSE),0)</f>
        <v>-19326.805</v>
      </c>
      <c r="E81" s="648">
        <f>IFERROR(VLOOKUP($A81,Race_2024_Seasonal!A:X,8,FALSE),0)</f>
        <v>-19326.805</v>
      </c>
      <c r="F81" s="648">
        <f>IFERROR(VLOOKUP($A81,Race_2024_Seasonal!A:X,9,FALSE),0)</f>
        <v>-19326.805</v>
      </c>
      <c r="G81" s="648">
        <f>IFERROR(VLOOKUP($A81,Race_2024_Seasonal!A:X,10,FALSE),0)</f>
        <v>-19326.805</v>
      </c>
      <c r="H81" s="648">
        <f>IFERROR(VLOOKUP($A81,Race_2024_Seasonal!A:X,11,FALSE),0)</f>
        <v>-19326.805</v>
      </c>
      <c r="I81" s="648">
        <f>IFERROR(VLOOKUP($A81,Race_2024_Seasonal!A:X,12,FALSE),0)</f>
        <v>-19326.805</v>
      </c>
      <c r="J81" s="648">
        <f>IFERROR(VLOOKUP($A81,Race_2024_Seasonal!A:X,13,FALSE),0)</f>
        <v>-19326.805</v>
      </c>
      <c r="K81" s="648">
        <f>IFERROR(VLOOKUP($A81,Race_2024_Seasonal!A:X,14,FALSE),0)</f>
        <v>-19326.805</v>
      </c>
      <c r="L81" s="648">
        <f>IFERROR(VLOOKUP($A81,Race_2024_Seasonal!A:X,15,FALSE),0)</f>
        <v>-19326.805</v>
      </c>
      <c r="M81" s="648">
        <f>IFERROR(VLOOKUP($A81,Race_2024_Seasonal!A:X,16,FALSE),0)</f>
        <v>-19326.805</v>
      </c>
      <c r="N81" s="648">
        <f>IFERROR(VLOOKUP($A81,Race_2024_Seasonal!A:X,17,FALSE),0)</f>
        <v>-19326.805</v>
      </c>
      <c r="O81" s="648">
        <f>IFERROR(VLOOKUP($A81,Race_2024_Seasonal!A:X,18,FALSE),0)</f>
        <v>-19326.805</v>
      </c>
      <c r="P81" s="542"/>
      <c r="Q81" s="648">
        <f t="shared" si="1"/>
        <v>-231921.65999999995</v>
      </c>
      <c r="R81" s="542"/>
      <c r="S81" s="659">
        <f>Q81-'P&amp;L'!I81</f>
        <v>0</v>
      </c>
    </row>
    <row r="82" spans="1:19" ht="15" x14ac:dyDescent="0.25">
      <c r="A82" s="534" t="s">
        <v>887</v>
      </c>
      <c r="B82" s="534" t="str">
        <f>IFERROR(VLOOKUP(A82,Race_2024_Seasonal!A:C,3,FALSE), VLOOKUP(A82,Race_2024_Seasonal!A:C,3,FALSE))</f>
        <v>PE communication</v>
      </c>
      <c r="C82" s="544" t="s">
        <v>888</v>
      </c>
      <c r="D82" s="613">
        <f>IFERROR(VLOOKUP($A82,Race_2024_Seasonal!A:X,7,FALSE),0)</f>
        <v>-1252.7239999999999</v>
      </c>
      <c r="E82" s="613">
        <f>IFERROR(VLOOKUP($A82,Race_2024_Seasonal!A:X,8,FALSE),0)</f>
        <v>-1252.7239999999999</v>
      </c>
      <c r="F82" s="613">
        <f>IFERROR(VLOOKUP($A82,Race_2024_Seasonal!A:X,9,FALSE),0)</f>
        <v>-1252.7239999999999</v>
      </c>
      <c r="G82" s="613">
        <f>IFERROR(VLOOKUP($A82,Race_2024_Seasonal!A:X,10,FALSE),0)</f>
        <v>-1252.7239999999999</v>
      </c>
      <c r="H82" s="613">
        <f>IFERROR(VLOOKUP($A82,Race_2024_Seasonal!A:X,11,FALSE),0)</f>
        <v>-1252.7239999999999</v>
      </c>
      <c r="I82" s="613">
        <f>IFERROR(VLOOKUP($A82,Race_2024_Seasonal!A:X,12,FALSE),0)</f>
        <v>-1252.7239999999999</v>
      </c>
      <c r="J82" s="613">
        <f>IFERROR(VLOOKUP($A82,Race_2024_Seasonal!A:X,13,FALSE),0)</f>
        <v>-1252.7239999999999</v>
      </c>
      <c r="K82" s="613">
        <f>IFERROR(VLOOKUP($A82,Race_2024_Seasonal!A:X,14,FALSE),0)</f>
        <v>-1252.7239999999999</v>
      </c>
      <c r="L82" s="613">
        <f>IFERROR(VLOOKUP($A82,Race_2024_Seasonal!A:X,15,FALSE),0)</f>
        <v>-1252.7239999999999</v>
      </c>
      <c r="M82" s="613">
        <f>IFERROR(VLOOKUP($A82,Race_2024_Seasonal!A:X,16,FALSE),0)</f>
        <v>-1252.7239999999999</v>
      </c>
      <c r="N82" s="613">
        <f>IFERROR(VLOOKUP($A82,Race_2024_Seasonal!A:X,17,FALSE),0)</f>
        <v>-1252.7239999999999</v>
      </c>
      <c r="O82" s="613">
        <f>IFERROR(VLOOKUP($A82,Race_2024_Seasonal!A:X,18,FALSE),0)</f>
        <v>-1252.7239999999999</v>
      </c>
      <c r="P82" s="542"/>
      <c r="Q82" s="613">
        <f t="shared" si="1"/>
        <v>-15032.688</v>
      </c>
      <c r="R82" s="542"/>
      <c r="S82" s="659">
        <f>Q82-'P&amp;L'!I82</f>
        <v>0</v>
      </c>
    </row>
    <row r="83" spans="1:19" ht="15" x14ac:dyDescent="0.25">
      <c r="A83" s="534" t="s">
        <v>889</v>
      </c>
      <c r="B83" s="534" t="str">
        <f>IFERROR(VLOOKUP(A83,Race_2024_Seasonal!A:C,3,FALSE), VLOOKUP(A83,Race_2024_Seasonal!A:C,3,FALSE))</f>
        <v>PE distribution</v>
      </c>
      <c r="C83" s="544" t="s">
        <v>473</v>
      </c>
      <c r="D83" s="613">
        <f>IFERROR(VLOOKUP($A83,Race_2024_Seasonal!A:X,7,FALSE),0)</f>
        <v>-10056.838</v>
      </c>
      <c r="E83" s="613">
        <f>IFERROR(VLOOKUP($A83,Race_2024_Seasonal!A:X,8,FALSE),0)</f>
        <v>-9179.2569999999996</v>
      </c>
      <c r="F83" s="613">
        <f>IFERROR(VLOOKUP($A83,Race_2024_Seasonal!A:X,9,FALSE),0)</f>
        <v>-8764.4619999999995</v>
      </c>
      <c r="G83" s="613">
        <f>IFERROR(VLOOKUP($A83,Race_2024_Seasonal!A:X,10,FALSE),0)</f>
        <v>-7734.3620000000001</v>
      </c>
      <c r="H83" s="613">
        <f>IFERROR(VLOOKUP($A83,Race_2024_Seasonal!A:X,11,FALSE),0)</f>
        <v>-8329.4079999999994</v>
      </c>
      <c r="I83" s="613">
        <f>IFERROR(VLOOKUP($A83,Race_2024_Seasonal!A:X,12,FALSE),0)</f>
        <v>-8003.5379999999996</v>
      </c>
      <c r="J83" s="613">
        <f>IFERROR(VLOOKUP($A83,Race_2024_Seasonal!A:X,13,FALSE),0)</f>
        <v>-9942.1730000000007</v>
      </c>
      <c r="K83" s="613">
        <f>IFERROR(VLOOKUP($A83,Race_2024_Seasonal!A:X,14,FALSE),0)</f>
        <v>-8469.7119999999995</v>
      </c>
      <c r="L83" s="613">
        <f>IFERROR(VLOOKUP($A83,Race_2024_Seasonal!A:X,15,FALSE),0)</f>
        <v>-8735.6080000000002</v>
      </c>
      <c r="M83" s="613">
        <f>IFERROR(VLOOKUP($A83,Race_2024_Seasonal!A:X,16,FALSE),0)</f>
        <v>-7974.6729999999998</v>
      </c>
      <c r="N83" s="613">
        <f>IFERROR(VLOOKUP($A83,Race_2024_Seasonal!A:X,17,FALSE),0)</f>
        <v>-8281.6810000000005</v>
      </c>
      <c r="O83" s="613">
        <f>IFERROR(VLOOKUP($A83,Race_2024_Seasonal!A:X,18,FALSE),0)</f>
        <v>-8246.8389999999999</v>
      </c>
      <c r="P83" s="542"/>
      <c r="Q83" s="613">
        <f t="shared" si="1"/>
        <v>-103718.55100000001</v>
      </c>
      <c r="R83" s="542"/>
      <c r="S83" s="659">
        <f>Q83-'P&amp;L'!I83</f>
        <v>0</v>
      </c>
    </row>
    <row r="84" spans="1:19" ht="15" x14ac:dyDescent="0.25">
      <c r="A84" s="534" t="s">
        <v>890</v>
      </c>
      <c r="B84" s="534" t="e">
        <f>IFERROR(VLOOKUP(A84,Race_2024_Seasonal!A:C,3,FALSE), VLOOKUP(A84,Race_2024_Seasonal!A:C,3,FALSE))</f>
        <v>#N/A</v>
      </c>
      <c r="C84" s="544" t="s">
        <v>891</v>
      </c>
      <c r="D84" s="613">
        <f>IFERROR(VLOOKUP($A84,Race_2024_Seasonal!A:X,7,FALSE),0)</f>
        <v>0</v>
      </c>
      <c r="E84" s="613">
        <f>IFERROR(VLOOKUP($A84,Race_2024_Seasonal!A:X,8,FALSE),0)</f>
        <v>0</v>
      </c>
      <c r="F84" s="613">
        <f>IFERROR(VLOOKUP($A84,Race_2024_Seasonal!A:X,9,FALSE),0)</f>
        <v>0</v>
      </c>
      <c r="G84" s="613">
        <f>IFERROR(VLOOKUP($A84,Race_2024_Seasonal!A:X,10,FALSE),0)</f>
        <v>0</v>
      </c>
      <c r="H84" s="613">
        <f>IFERROR(VLOOKUP($A84,Race_2024_Seasonal!A:X,11,FALSE),0)</f>
        <v>0</v>
      </c>
      <c r="I84" s="613">
        <f>IFERROR(VLOOKUP($A84,Race_2024_Seasonal!A:X,12,FALSE),0)</f>
        <v>0</v>
      </c>
      <c r="J84" s="613">
        <f>IFERROR(VLOOKUP($A84,Race_2024_Seasonal!A:X,13,FALSE),0)</f>
        <v>0</v>
      </c>
      <c r="K84" s="613">
        <f>IFERROR(VLOOKUP($A84,Race_2024_Seasonal!A:X,14,FALSE),0)</f>
        <v>0</v>
      </c>
      <c r="L84" s="613">
        <f>IFERROR(VLOOKUP($A84,Race_2024_Seasonal!A:X,15,FALSE),0)</f>
        <v>0</v>
      </c>
      <c r="M84" s="613">
        <f>IFERROR(VLOOKUP($A84,Race_2024_Seasonal!A:X,16,FALSE),0)</f>
        <v>0</v>
      </c>
      <c r="N84" s="613">
        <f>IFERROR(VLOOKUP($A84,Race_2024_Seasonal!A:X,17,FALSE),0)</f>
        <v>0</v>
      </c>
      <c r="O84" s="613">
        <f>IFERROR(VLOOKUP($A84,Race_2024_Seasonal!A:X,18,FALSE),0)</f>
        <v>0</v>
      </c>
      <c r="P84" s="542"/>
      <c r="Q84" s="613">
        <f t="shared" si="1"/>
        <v>0</v>
      </c>
      <c r="R84" s="542"/>
      <c r="S84" s="659">
        <f>Q84-'P&amp;L'!I84</f>
        <v>0</v>
      </c>
    </row>
    <row r="85" spans="1:19" ht="15" x14ac:dyDescent="0.25">
      <c r="A85" s="534" t="s">
        <v>892</v>
      </c>
      <c r="B85" s="534" t="str">
        <f>IFERROR(VLOOKUP(A85,Race_2024_Seasonal!A:C,3,FALSE), VLOOKUP(A85,Race_2024_Seasonal!A:C,3,FALSE))</f>
        <v>F,G and A expenses</v>
      </c>
      <c r="C85" s="540" t="s">
        <v>479</v>
      </c>
      <c r="D85" s="653">
        <f>IFERROR(VLOOKUP($A85,Race_2024_Seasonal!A:X,7,FALSE),0)</f>
        <v>-50061.857000000004</v>
      </c>
      <c r="E85" s="653">
        <f>IFERROR(VLOOKUP($A85,Race_2024_Seasonal!A:X,8,FALSE),0)</f>
        <v>-38437.798000000003</v>
      </c>
      <c r="F85" s="653">
        <f>IFERROR(VLOOKUP($A85,Race_2024_Seasonal!A:X,9,FALSE),0)</f>
        <v>-38754.790999999997</v>
      </c>
      <c r="G85" s="653">
        <f>IFERROR(VLOOKUP($A85,Race_2024_Seasonal!A:X,10,FALSE),0)</f>
        <v>-38065.972999999998</v>
      </c>
      <c r="H85" s="653">
        <f>IFERROR(VLOOKUP($A85,Race_2024_Seasonal!A:X,11,FALSE),0)</f>
        <v>-38147.49</v>
      </c>
      <c r="I85" s="653">
        <f>IFERROR(VLOOKUP($A85,Race_2024_Seasonal!A:X,12,FALSE),0)</f>
        <v>-38270.991999999998</v>
      </c>
      <c r="J85" s="653">
        <f>IFERROR(VLOOKUP($A85,Race_2024_Seasonal!A:X,13,FALSE),0)</f>
        <v>-39015.671999999999</v>
      </c>
      <c r="K85" s="653">
        <f>IFERROR(VLOOKUP($A85,Race_2024_Seasonal!A:X,14,FALSE),0)</f>
        <v>-38465.421999999999</v>
      </c>
      <c r="L85" s="653">
        <f>IFERROR(VLOOKUP($A85,Race_2024_Seasonal!A:X,15,FALSE),0)</f>
        <v>-38541.75</v>
      </c>
      <c r="M85" s="653">
        <f>IFERROR(VLOOKUP($A85,Race_2024_Seasonal!A:X,16,FALSE),0)</f>
        <v>-38199.641000000003</v>
      </c>
      <c r="N85" s="653">
        <f>IFERROR(VLOOKUP($A85,Race_2024_Seasonal!A:X,17,FALSE),0)</f>
        <v>-38245.663999999997</v>
      </c>
      <c r="O85" s="653">
        <f>IFERROR(VLOOKUP($A85,Race_2024_Seasonal!A:X,18,FALSE),0)</f>
        <v>-38484.125999999997</v>
      </c>
      <c r="P85" s="542"/>
      <c r="Q85" s="653">
        <f t="shared" si="1"/>
        <v>-472691.17599999998</v>
      </c>
      <c r="R85" s="542"/>
      <c r="S85" s="659">
        <f>Q85-'P&amp;L'!I85</f>
        <v>0</v>
      </c>
    </row>
    <row r="86" spans="1:19" ht="15" x14ac:dyDescent="0.25">
      <c r="A86" s="534" t="s">
        <v>893</v>
      </c>
      <c r="B86" s="534" t="str">
        <f>IFERROR(VLOOKUP(A86,Race_2024_Seasonal!A:C,3,FALSE), VLOOKUP(A86,Race_2024_Seasonal!A:C,3,FALSE))</f>
        <v>F,G&amp;A expenses</v>
      </c>
      <c r="C86" s="544" t="s">
        <v>479</v>
      </c>
      <c r="D86" s="613">
        <f>IFERROR(VLOOKUP($A86,Race_2024_Seasonal!A:X,7,FALSE),0)</f>
        <v>-50061.857000000004</v>
      </c>
      <c r="E86" s="613">
        <f>IFERROR(VLOOKUP($A86,Race_2024_Seasonal!A:X,8,FALSE),0)</f>
        <v>-38437.798000000003</v>
      </c>
      <c r="F86" s="613">
        <f>IFERROR(VLOOKUP($A86,Race_2024_Seasonal!A:X,9,FALSE),0)</f>
        <v>-38754.790999999997</v>
      </c>
      <c r="G86" s="613">
        <f>IFERROR(VLOOKUP($A86,Race_2024_Seasonal!A:X,10,FALSE),0)</f>
        <v>-38065.972999999998</v>
      </c>
      <c r="H86" s="613">
        <f>IFERROR(VLOOKUP($A86,Race_2024_Seasonal!A:X,11,FALSE),0)</f>
        <v>-38147.49</v>
      </c>
      <c r="I86" s="613">
        <f>IFERROR(VLOOKUP($A86,Race_2024_Seasonal!A:X,12,FALSE),0)</f>
        <v>-38270.991999999998</v>
      </c>
      <c r="J86" s="613">
        <f>IFERROR(VLOOKUP($A86,Race_2024_Seasonal!A:X,13,FALSE),0)</f>
        <v>-39015.671999999999</v>
      </c>
      <c r="K86" s="613">
        <f>IFERROR(VLOOKUP($A86,Race_2024_Seasonal!A:X,14,FALSE),0)</f>
        <v>-38465.421999999999</v>
      </c>
      <c r="L86" s="613">
        <f>IFERROR(VLOOKUP($A86,Race_2024_Seasonal!A:X,15,FALSE),0)</f>
        <v>-38541.75</v>
      </c>
      <c r="M86" s="613">
        <f>IFERROR(VLOOKUP($A86,Race_2024_Seasonal!A:X,16,FALSE),0)</f>
        <v>-38199.641000000003</v>
      </c>
      <c r="N86" s="613">
        <f>IFERROR(VLOOKUP($A86,Race_2024_Seasonal!A:X,17,FALSE),0)</f>
        <v>-38245.663999999997</v>
      </c>
      <c r="O86" s="613">
        <f>IFERROR(VLOOKUP($A86,Race_2024_Seasonal!A:X,18,FALSE),0)</f>
        <v>-38484.125999999997</v>
      </c>
      <c r="P86" s="542"/>
      <c r="Q86" s="613">
        <f t="shared" si="1"/>
        <v>-472691.17599999998</v>
      </c>
      <c r="R86" s="542"/>
      <c r="S86" s="659">
        <f>Q86-'P&amp;L'!I86</f>
        <v>0</v>
      </c>
    </row>
    <row r="87" spans="1:19" ht="15" x14ac:dyDescent="0.25">
      <c r="A87" s="534" t="s">
        <v>894</v>
      </c>
      <c r="B87" s="534" t="e">
        <f>IFERROR(VLOOKUP(A87,Race_2024_Seasonal!A:C,3,FALSE), VLOOKUP(A87,Race_2024_Seasonal!A:C,3,FALSE))</f>
        <v>#N/A</v>
      </c>
      <c r="C87" s="544" t="s">
        <v>895</v>
      </c>
      <c r="D87" s="613">
        <f>IFERROR(VLOOKUP($A87,Race_2024_Seasonal!A:X,7,FALSE),0)</f>
        <v>0</v>
      </c>
      <c r="E87" s="613">
        <f>IFERROR(VLOOKUP($A87,Race_2024_Seasonal!A:X,8,FALSE),0)</f>
        <v>0</v>
      </c>
      <c r="F87" s="613">
        <f>IFERROR(VLOOKUP($A87,Race_2024_Seasonal!A:X,9,FALSE),0)</f>
        <v>0</v>
      </c>
      <c r="G87" s="613">
        <f>IFERROR(VLOOKUP($A87,Race_2024_Seasonal!A:X,10,FALSE),0)</f>
        <v>0</v>
      </c>
      <c r="H87" s="613">
        <f>IFERROR(VLOOKUP($A87,Race_2024_Seasonal!A:X,11,FALSE),0)</f>
        <v>0</v>
      </c>
      <c r="I87" s="613">
        <f>IFERROR(VLOOKUP($A87,Race_2024_Seasonal!A:X,12,FALSE),0)</f>
        <v>0</v>
      </c>
      <c r="J87" s="613">
        <f>IFERROR(VLOOKUP($A87,Race_2024_Seasonal!A:X,13,FALSE),0)</f>
        <v>0</v>
      </c>
      <c r="K87" s="613">
        <f>IFERROR(VLOOKUP($A87,Race_2024_Seasonal!A:X,14,FALSE),0)</f>
        <v>0</v>
      </c>
      <c r="L87" s="613">
        <f>IFERROR(VLOOKUP($A87,Race_2024_Seasonal!A:X,15,FALSE),0)</f>
        <v>0</v>
      </c>
      <c r="M87" s="613">
        <f>IFERROR(VLOOKUP($A87,Race_2024_Seasonal!A:X,16,FALSE),0)</f>
        <v>0</v>
      </c>
      <c r="N87" s="613">
        <f>IFERROR(VLOOKUP($A87,Race_2024_Seasonal!A:X,17,FALSE),0)</f>
        <v>0</v>
      </c>
      <c r="O87" s="613">
        <f>IFERROR(VLOOKUP($A87,Race_2024_Seasonal!A:X,18,FALSE),0)</f>
        <v>0</v>
      </c>
      <c r="P87" s="542"/>
      <c r="Q87" s="613">
        <f t="shared" si="1"/>
        <v>0</v>
      </c>
      <c r="R87" s="542"/>
      <c r="S87" s="659">
        <f>Q87-'P&amp;L'!I87</f>
        <v>0</v>
      </c>
    </row>
    <row r="88" spans="1:19" ht="15" x14ac:dyDescent="0.25">
      <c r="A88" s="534" t="s">
        <v>896</v>
      </c>
      <c r="B88" s="534" t="e">
        <f>IFERROR(VLOOKUP(A88,Race_2024_Seasonal!A:C,3,FALSE), VLOOKUP(A88,Race_2024_Seasonal!A:C,3,FALSE))</f>
        <v>#N/A</v>
      </c>
      <c r="C88" s="540" t="s">
        <v>897</v>
      </c>
      <c r="D88" s="655">
        <f>IFERROR(VLOOKUP($A88,Race_2024_Seasonal!A:X,7,FALSE),0)</f>
        <v>0</v>
      </c>
      <c r="E88" s="655">
        <f>IFERROR(VLOOKUP($A88,Race_2024_Seasonal!A:X,8,FALSE),0)</f>
        <v>0</v>
      </c>
      <c r="F88" s="655">
        <f>IFERROR(VLOOKUP($A88,Race_2024_Seasonal!A:X,9,FALSE),0)</f>
        <v>0</v>
      </c>
      <c r="G88" s="655">
        <f>IFERROR(VLOOKUP($A88,Race_2024_Seasonal!A:X,10,FALSE),0)</f>
        <v>0</v>
      </c>
      <c r="H88" s="655">
        <f>IFERROR(VLOOKUP($A88,Race_2024_Seasonal!A:X,11,FALSE),0)</f>
        <v>0</v>
      </c>
      <c r="I88" s="655">
        <f>IFERROR(VLOOKUP($A88,Race_2024_Seasonal!A:X,12,FALSE),0)</f>
        <v>0</v>
      </c>
      <c r="J88" s="655">
        <f>IFERROR(VLOOKUP($A88,Race_2024_Seasonal!A:X,13,FALSE),0)</f>
        <v>0</v>
      </c>
      <c r="K88" s="655">
        <f>IFERROR(VLOOKUP($A88,Race_2024_Seasonal!A:X,14,FALSE),0)</f>
        <v>0</v>
      </c>
      <c r="L88" s="655">
        <f>IFERROR(VLOOKUP($A88,Race_2024_Seasonal!A:X,15,FALSE),0)</f>
        <v>0</v>
      </c>
      <c r="M88" s="655">
        <f>IFERROR(VLOOKUP($A88,Race_2024_Seasonal!A:X,16,FALSE),0)</f>
        <v>0</v>
      </c>
      <c r="N88" s="655">
        <f>IFERROR(VLOOKUP($A88,Race_2024_Seasonal!A:X,17,FALSE),0)</f>
        <v>0</v>
      </c>
      <c r="O88" s="655">
        <f>IFERROR(VLOOKUP($A88,Race_2024_Seasonal!A:X,18,FALSE),0)</f>
        <v>0</v>
      </c>
      <c r="P88" s="542"/>
      <c r="Q88" s="655">
        <f t="shared" si="1"/>
        <v>0</v>
      </c>
      <c r="R88" s="542"/>
      <c r="S88" s="659">
        <f>Q88-'P&amp;L'!I88</f>
        <v>0</v>
      </c>
    </row>
    <row r="89" spans="1:19" ht="15" x14ac:dyDescent="0.25">
      <c r="A89" s="534" t="s">
        <v>898</v>
      </c>
      <c r="B89" s="534" t="e">
        <f>IFERROR(VLOOKUP(A89,Race_2024_Seasonal!A:C,3,FALSE), VLOOKUP(A89,Race_2024_Seasonal!A:C,3,FALSE))</f>
        <v>#N/A</v>
      </c>
      <c r="C89" s="537" t="s">
        <v>899</v>
      </c>
      <c r="D89" s="610">
        <f>IFERROR(VLOOKUP($A89,Race_2024_Seasonal!A:X,7,FALSE),0)</f>
        <v>0</v>
      </c>
      <c r="E89" s="610">
        <f>IFERROR(VLOOKUP($A89,Race_2024_Seasonal!A:X,8,FALSE),0)</f>
        <v>0</v>
      </c>
      <c r="F89" s="610">
        <f>IFERROR(VLOOKUP($A89,Race_2024_Seasonal!A:X,9,FALSE),0)</f>
        <v>0</v>
      </c>
      <c r="G89" s="610">
        <f>IFERROR(VLOOKUP($A89,Race_2024_Seasonal!A:X,10,FALSE),0)</f>
        <v>0</v>
      </c>
      <c r="H89" s="610">
        <f>IFERROR(VLOOKUP($A89,Race_2024_Seasonal!A:X,11,FALSE),0)</f>
        <v>0</v>
      </c>
      <c r="I89" s="610">
        <f>IFERROR(VLOOKUP($A89,Race_2024_Seasonal!A:X,12,FALSE),0)</f>
        <v>0</v>
      </c>
      <c r="J89" s="610">
        <f>IFERROR(VLOOKUP($A89,Race_2024_Seasonal!A:X,13,FALSE),0)</f>
        <v>0</v>
      </c>
      <c r="K89" s="610">
        <f>IFERROR(VLOOKUP($A89,Race_2024_Seasonal!A:X,14,FALSE),0)</f>
        <v>0</v>
      </c>
      <c r="L89" s="610">
        <f>IFERROR(VLOOKUP($A89,Race_2024_Seasonal!A:X,15,FALSE),0)</f>
        <v>0</v>
      </c>
      <c r="M89" s="610">
        <f>IFERROR(VLOOKUP($A89,Race_2024_Seasonal!A:X,16,FALSE),0)</f>
        <v>0</v>
      </c>
      <c r="N89" s="610">
        <f>IFERROR(VLOOKUP($A89,Race_2024_Seasonal!A:X,17,FALSE),0)</f>
        <v>0</v>
      </c>
      <c r="O89" s="610">
        <f>IFERROR(VLOOKUP($A89,Race_2024_Seasonal!A:X,18,FALSE),0)</f>
        <v>0</v>
      </c>
      <c r="P89" s="542"/>
      <c r="Q89" s="610">
        <f t="shared" si="1"/>
        <v>0</v>
      </c>
      <c r="R89" s="542"/>
      <c r="S89" s="659">
        <f>Q89-'P&amp;L'!I89</f>
        <v>0</v>
      </c>
    </row>
    <row r="90" spans="1:19" ht="15" x14ac:dyDescent="0.25">
      <c r="A90" s="534" t="s">
        <v>900</v>
      </c>
      <c r="B90" s="534" t="e">
        <f>IFERROR(VLOOKUP(A90,Race_2024_Seasonal!A:C,3,FALSE), VLOOKUP(A90,Race_2024_Seasonal!A:C,3,FALSE))</f>
        <v>#N/A</v>
      </c>
      <c r="C90" s="537" t="s">
        <v>901</v>
      </c>
      <c r="D90" s="610">
        <f>IFERROR(VLOOKUP($A90,Race_2024_Seasonal!A:X,7,FALSE),0)</f>
        <v>0</v>
      </c>
      <c r="E90" s="610">
        <f>IFERROR(VLOOKUP($A90,Race_2024_Seasonal!A:X,8,FALSE),0)</f>
        <v>0</v>
      </c>
      <c r="F90" s="610">
        <f>IFERROR(VLOOKUP($A90,Race_2024_Seasonal!A:X,9,FALSE),0)</f>
        <v>0</v>
      </c>
      <c r="G90" s="610">
        <f>IFERROR(VLOOKUP($A90,Race_2024_Seasonal!A:X,10,FALSE),0)</f>
        <v>0</v>
      </c>
      <c r="H90" s="610">
        <f>IFERROR(VLOOKUP($A90,Race_2024_Seasonal!A:X,11,FALSE),0)</f>
        <v>0</v>
      </c>
      <c r="I90" s="610">
        <f>IFERROR(VLOOKUP($A90,Race_2024_Seasonal!A:X,12,FALSE),0)</f>
        <v>0</v>
      </c>
      <c r="J90" s="610">
        <f>IFERROR(VLOOKUP($A90,Race_2024_Seasonal!A:X,13,FALSE),0)</f>
        <v>0</v>
      </c>
      <c r="K90" s="610">
        <f>IFERROR(VLOOKUP($A90,Race_2024_Seasonal!A:X,14,FALSE),0)</f>
        <v>0</v>
      </c>
      <c r="L90" s="610">
        <f>IFERROR(VLOOKUP($A90,Race_2024_Seasonal!A:X,15,FALSE),0)</f>
        <v>0</v>
      </c>
      <c r="M90" s="610">
        <f>IFERROR(VLOOKUP($A90,Race_2024_Seasonal!A:X,16,FALSE),0)</f>
        <v>0</v>
      </c>
      <c r="N90" s="610">
        <f>IFERROR(VLOOKUP($A90,Race_2024_Seasonal!A:X,17,FALSE),0)</f>
        <v>0</v>
      </c>
      <c r="O90" s="610">
        <f>IFERROR(VLOOKUP($A90,Race_2024_Seasonal!A:X,18,FALSE),0)</f>
        <v>0</v>
      </c>
      <c r="P90" s="542"/>
      <c r="Q90" s="610">
        <f t="shared" si="1"/>
        <v>0</v>
      </c>
      <c r="R90" s="542"/>
      <c r="S90" s="659">
        <f>Q90-'P&amp;L'!I90</f>
        <v>0</v>
      </c>
    </row>
    <row r="91" spans="1:19" ht="15" x14ac:dyDescent="0.25">
      <c r="A91" s="534" t="s">
        <v>902</v>
      </c>
      <c r="B91" s="534" t="e">
        <f>IFERROR(VLOOKUP(A91,Race_2024_Seasonal!A:C,3,FALSE), VLOOKUP(A91,Race_2024_Seasonal!A:C,3,FALSE))</f>
        <v>#N/A</v>
      </c>
      <c r="C91" s="537" t="s">
        <v>903</v>
      </c>
      <c r="D91" s="610">
        <f>IFERROR(VLOOKUP($A91,Race_2024_Seasonal!A:X,7,FALSE),0)</f>
        <v>0</v>
      </c>
      <c r="E91" s="610">
        <f>IFERROR(VLOOKUP($A91,Race_2024_Seasonal!A:X,8,FALSE),0)</f>
        <v>0</v>
      </c>
      <c r="F91" s="610">
        <f>IFERROR(VLOOKUP($A91,Race_2024_Seasonal!A:X,9,FALSE),0)</f>
        <v>0</v>
      </c>
      <c r="G91" s="610">
        <f>IFERROR(VLOOKUP($A91,Race_2024_Seasonal!A:X,10,FALSE),0)</f>
        <v>0</v>
      </c>
      <c r="H91" s="610">
        <f>IFERROR(VLOOKUP($A91,Race_2024_Seasonal!A:X,11,FALSE),0)</f>
        <v>0</v>
      </c>
      <c r="I91" s="610">
        <f>IFERROR(VLOOKUP($A91,Race_2024_Seasonal!A:X,12,FALSE),0)</f>
        <v>0</v>
      </c>
      <c r="J91" s="610">
        <f>IFERROR(VLOOKUP($A91,Race_2024_Seasonal!A:X,13,FALSE),0)</f>
        <v>0</v>
      </c>
      <c r="K91" s="610">
        <f>IFERROR(VLOOKUP($A91,Race_2024_Seasonal!A:X,14,FALSE),0)</f>
        <v>0</v>
      </c>
      <c r="L91" s="610">
        <f>IFERROR(VLOOKUP($A91,Race_2024_Seasonal!A:X,15,FALSE),0)</f>
        <v>0</v>
      </c>
      <c r="M91" s="610">
        <f>IFERROR(VLOOKUP($A91,Race_2024_Seasonal!A:X,16,FALSE),0)</f>
        <v>0</v>
      </c>
      <c r="N91" s="610">
        <f>IFERROR(VLOOKUP($A91,Race_2024_Seasonal!A:X,17,FALSE),0)</f>
        <v>0</v>
      </c>
      <c r="O91" s="610">
        <f>IFERROR(VLOOKUP($A91,Race_2024_Seasonal!A:X,18,FALSE),0)</f>
        <v>0</v>
      </c>
      <c r="P91" s="542"/>
      <c r="Q91" s="610">
        <f t="shared" si="1"/>
        <v>0</v>
      </c>
      <c r="R91" s="542"/>
      <c r="S91" s="659">
        <f>Q91-'P&amp;L'!I91</f>
        <v>0</v>
      </c>
    </row>
    <row r="92" spans="1:19" ht="15" x14ac:dyDescent="0.25">
      <c r="A92" s="534" t="s">
        <v>904</v>
      </c>
      <c r="B92" s="534" t="e">
        <f>IFERROR(VLOOKUP(A92,Race_2024_Seasonal!A:C,3,FALSE), VLOOKUP(A92,Race_2024_Seasonal!A:C,3,FALSE))</f>
        <v>#N/A</v>
      </c>
      <c r="C92" s="537" t="s">
        <v>905</v>
      </c>
      <c r="D92" s="610">
        <f>IFERROR(VLOOKUP($A92,Race_2024_Seasonal!A:X,7,FALSE),0)</f>
        <v>0</v>
      </c>
      <c r="E92" s="610">
        <f>IFERROR(VLOOKUP($A92,Race_2024_Seasonal!A:X,8,FALSE),0)</f>
        <v>0</v>
      </c>
      <c r="F92" s="610">
        <f>IFERROR(VLOOKUP($A92,Race_2024_Seasonal!A:X,9,FALSE),0)</f>
        <v>0</v>
      </c>
      <c r="G92" s="610">
        <f>IFERROR(VLOOKUP($A92,Race_2024_Seasonal!A:X,10,FALSE),0)</f>
        <v>0</v>
      </c>
      <c r="H92" s="610">
        <f>IFERROR(VLOOKUP($A92,Race_2024_Seasonal!A:X,11,FALSE),0)</f>
        <v>0</v>
      </c>
      <c r="I92" s="610">
        <f>IFERROR(VLOOKUP($A92,Race_2024_Seasonal!A:X,12,FALSE),0)</f>
        <v>0</v>
      </c>
      <c r="J92" s="610">
        <f>IFERROR(VLOOKUP($A92,Race_2024_Seasonal!A:X,13,FALSE),0)</f>
        <v>0</v>
      </c>
      <c r="K92" s="610">
        <f>IFERROR(VLOOKUP($A92,Race_2024_Seasonal!A:X,14,FALSE),0)</f>
        <v>0</v>
      </c>
      <c r="L92" s="610">
        <f>IFERROR(VLOOKUP($A92,Race_2024_Seasonal!A:X,15,FALSE),0)</f>
        <v>0</v>
      </c>
      <c r="M92" s="610">
        <f>IFERROR(VLOOKUP($A92,Race_2024_Seasonal!A:X,16,FALSE),0)</f>
        <v>0</v>
      </c>
      <c r="N92" s="610">
        <f>IFERROR(VLOOKUP($A92,Race_2024_Seasonal!A:X,17,FALSE),0)</f>
        <v>0</v>
      </c>
      <c r="O92" s="610">
        <f>IFERROR(VLOOKUP($A92,Race_2024_Seasonal!A:X,18,FALSE),0)</f>
        <v>0</v>
      </c>
      <c r="P92" s="542"/>
      <c r="Q92" s="610">
        <f t="shared" si="1"/>
        <v>0</v>
      </c>
      <c r="R92" s="542"/>
      <c r="S92" s="659">
        <f>Q92-'P&amp;L'!I92</f>
        <v>0</v>
      </c>
    </row>
    <row r="93" spans="1:19" ht="15" x14ac:dyDescent="0.25">
      <c r="A93" s="534" t="s">
        <v>906</v>
      </c>
      <c r="B93" s="534" t="e">
        <f>IFERROR(VLOOKUP(A93,Race_2024_Seasonal!A:C,3,FALSE), VLOOKUP(A93,Race_2024_Seasonal!A:C,3,FALSE))</f>
        <v>#N/A</v>
      </c>
      <c r="C93" s="537" t="s">
        <v>907</v>
      </c>
      <c r="D93" s="610">
        <f>IFERROR(VLOOKUP($A93,Race_2024_Seasonal!A:X,7,FALSE),0)</f>
        <v>0</v>
      </c>
      <c r="E93" s="610">
        <f>IFERROR(VLOOKUP($A93,Race_2024_Seasonal!A:X,8,FALSE),0)</f>
        <v>0</v>
      </c>
      <c r="F93" s="610">
        <f>IFERROR(VLOOKUP($A93,Race_2024_Seasonal!A:X,9,FALSE),0)</f>
        <v>0</v>
      </c>
      <c r="G93" s="610">
        <f>IFERROR(VLOOKUP($A93,Race_2024_Seasonal!A:X,10,FALSE),0)</f>
        <v>0</v>
      </c>
      <c r="H93" s="610">
        <f>IFERROR(VLOOKUP($A93,Race_2024_Seasonal!A:X,11,FALSE),0)</f>
        <v>0</v>
      </c>
      <c r="I93" s="610">
        <f>IFERROR(VLOOKUP($A93,Race_2024_Seasonal!A:X,12,FALSE),0)</f>
        <v>0</v>
      </c>
      <c r="J93" s="610">
        <f>IFERROR(VLOOKUP($A93,Race_2024_Seasonal!A:X,13,FALSE),0)</f>
        <v>0</v>
      </c>
      <c r="K93" s="610">
        <f>IFERROR(VLOOKUP($A93,Race_2024_Seasonal!A:X,14,FALSE),0)</f>
        <v>0</v>
      </c>
      <c r="L93" s="610">
        <f>IFERROR(VLOOKUP($A93,Race_2024_Seasonal!A:X,15,FALSE),0)</f>
        <v>0</v>
      </c>
      <c r="M93" s="610">
        <f>IFERROR(VLOOKUP($A93,Race_2024_Seasonal!A:X,16,FALSE),0)</f>
        <v>0</v>
      </c>
      <c r="N93" s="610">
        <f>IFERROR(VLOOKUP($A93,Race_2024_Seasonal!A:X,17,FALSE),0)</f>
        <v>0</v>
      </c>
      <c r="O93" s="610">
        <f>IFERROR(VLOOKUP($A93,Race_2024_Seasonal!A:X,18,FALSE),0)</f>
        <v>0</v>
      </c>
      <c r="P93" s="542"/>
      <c r="Q93" s="610">
        <f t="shared" si="1"/>
        <v>0</v>
      </c>
      <c r="R93" s="542"/>
      <c r="S93" s="659">
        <f>Q93-'P&amp;L'!I93</f>
        <v>0</v>
      </c>
    </row>
    <row r="94" spans="1:19" ht="15" x14ac:dyDescent="0.25">
      <c r="A94" s="534" t="s">
        <v>908</v>
      </c>
      <c r="B94" s="534" t="e">
        <f>IFERROR(VLOOKUP(A94,Race_2024_Seasonal!A:C,3,FALSE), VLOOKUP(A94,Race_2024_Seasonal!A:C,3,FALSE))</f>
        <v>#N/A</v>
      </c>
      <c r="C94" s="537" t="s">
        <v>909</v>
      </c>
      <c r="D94" s="613">
        <f>IFERROR(VLOOKUP($A94,Race_2024_Seasonal!A:X,7,FALSE),0)</f>
        <v>0</v>
      </c>
      <c r="E94" s="613">
        <f>IFERROR(VLOOKUP($A94,Race_2024_Seasonal!A:X,8,FALSE),0)</f>
        <v>0</v>
      </c>
      <c r="F94" s="613">
        <f>IFERROR(VLOOKUP($A94,Race_2024_Seasonal!A:X,9,FALSE),0)</f>
        <v>0</v>
      </c>
      <c r="G94" s="613">
        <f>IFERROR(VLOOKUP($A94,Race_2024_Seasonal!A:X,10,FALSE),0)</f>
        <v>0</v>
      </c>
      <c r="H94" s="613">
        <f>IFERROR(VLOOKUP($A94,Race_2024_Seasonal!A:X,11,FALSE),0)</f>
        <v>0</v>
      </c>
      <c r="I94" s="613">
        <f>IFERROR(VLOOKUP($A94,Race_2024_Seasonal!A:X,12,FALSE),0)</f>
        <v>0</v>
      </c>
      <c r="J94" s="613">
        <f>IFERROR(VLOOKUP($A94,Race_2024_Seasonal!A:X,13,FALSE),0)</f>
        <v>0</v>
      </c>
      <c r="K94" s="613">
        <f>IFERROR(VLOOKUP($A94,Race_2024_Seasonal!A:X,14,FALSE),0)</f>
        <v>0</v>
      </c>
      <c r="L94" s="613">
        <f>IFERROR(VLOOKUP($A94,Race_2024_Seasonal!A:X,15,FALSE),0)</f>
        <v>0</v>
      </c>
      <c r="M94" s="613">
        <f>IFERROR(VLOOKUP($A94,Race_2024_Seasonal!A:X,16,FALSE),0)</f>
        <v>0</v>
      </c>
      <c r="N94" s="613">
        <f>IFERROR(VLOOKUP($A94,Race_2024_Seasonal!A:X,17,FALSE),0)</f>
        <v>0</v>
      </c>
      <c r="O94" s="613">
        <f>IFERROR(VLOOKUP($A94,Race_2024_Seasonal!A:X,18,FALSE),0)</f>
        <v>0</v>
      </c>
      <c r="P94" s="542"/>
      <c r="Q94" s="613">
        <f t="shared" si="1"/>
        <v>0</v>
      </c>
      <c r="R94" s="542"/>
      <c r="S94" s="659">
        <f>Q94-'P&amp;L'!I94</f>
        <v>0</v>
      </c>
    </row>
    <row r="95" spans="1:19" ht="15" x14ac:dyDescent="0.25">
      <c r="A95" s="534" t="s">
        <v>910</v>
      </c>
      <c r="B95" s="534" t="e">
        <f>IFERROR(VLOOKUP(A95,Race_2024_Seasonal!A:C,3,FALSE), VLOOKUP(A95,Race_2024_Seasonal!A:C,3,FALSE))</f>
        <v>#N/A</v>
      </c>
      <c r="C95" s="541" t="s">
        <v>911</v>
      </c>
      <c r="D95" s="610">
        <f>IFERROR(VLOOKUP($A95,Race_2024_Seasonal!A:X,7,FALSE),0)</f>
        <v>0</v>
      </c>
      <c r="E95" s="610">
        <f>IFERROR(VLOOKUP($A95,Race_2024_Seasonal!A:X,8,FALSE),0)</f>
        <v>0</v>
      </c>
      <c r="F95" s="610">
        <f>IFERROR(VLOOKUP($A95,Race_2024_Seasonal!A:X,9,FALSE),0)</f>
        <v>0</v>
      </c>
      <c r="G95" s="610">
        <f>IFERROR(VLOOKUP($A95,Race_2024_Seasonal!A:X,10,FALSE),0)</f>
        <v>0</v>
      </c>
      <c r="H95" s="610">
        <f>IFERROR(VLOOKUP($A95,Race_2024_Seasonal!A:X,11,FALSE),0)</f>
        <v>0</v>
      </c>
      <c r="I95" s="610">
        <f>IFERROR(VLOOKUP($A95,Race_2024_Seasonal!A:X,12,FALSE),0)</f>
        <v>0</v>
      </c>
      <c r="J95" s="610">
        <f>IFERROR(VLOOKUP($A95,Race_2024_Seasonal!A:X,13,FALSE),0)</f>
        <v>0</v>
      </c>
      <c r="K95" s="610">
        <f>IFERROR(VLOOKUP($A95,Race_2024_Seasonal!A:X,14,FALSE),0)</f>
        <v>0</v>
      </c>
      <c r="L95" s="610">
        <f>IFERROR(VLOOKUP($A95,Race_2024_Seasonal!A:X,15,FALSE),0)</f>
        <v>0</v>
      </c>
      <c r="M95" s="610">
        <f>IFERROR(VLOOKUP($A95,Race_2024_Seasonal!A:X,16,FALSE),0)</f>
        <v>0</v>
      </c>
      <c r="N95" s="610">
        <f>IFERROR(VLOOKUP($A95,Race_2024_Seasonal!A:X,17,FALSE),0)</f>
        <v>0</v>
      </c>
      <c r="O95" s="610">
        <f>IFERROR(VLOOKUP($A95,Race_2024_Seasonal!A:X,18,FALSE),0)</f>
        <v>0</v>
      </c>
      <c r="P95" s="542"/>
      <c r="Q95" s="610">
        <f t="shared" si="1"/>
        <v>0</v>
      </c>
      <c r="R95" s="542"/>
      <c r="S95" s="659">
        <f>Q95-'P&amp;L'!I95</f>
        <v>0</v>
      </c>
    </row>
    <row r="96" spans="1:19" ht="15" x14ac:dyDescent="0.25">
      <c r="A96" s="534" t="s">
        <v>912</v>
      </c>
      <c r="B96" s="534" t="e">
        <f>IFERROR(VLOOKUP(A96,Race_2024_Seasonal!A:C,3,FALSE), VLOOKUP(A96,Race_2024_Seasonal!A:C,3,FALSE))</f>
        <v>#N/A</v>
      </c>
      <c r="C96" s="541" t="s">
        <v>913</v>
      </c>
      <c r="D96" s="610">
        <f>IFERROR(VLOOKUP($A96,Race_2024_Seasonal!A:X,7,FALSE),0)</f>
        <v>0</v>
      </c>
      <c r="E96" s="610">
        <f>IFERROR(VLOOKUP($A96,Race_2024_Seasonal!A:X,8,FALSE),0)</f>
        <v>0</v>
      </c>
      <c r="F96" s="610">
        <f>IFERROR(VLOOKUP($A96,Race_2024_Seasonal!A:X,9,FALSE),0)</f>
        <v>0</v>
      </c>
      <c r="G96" s="610">
        <f>IFERROR(VLOOKUP($A96,Race_2024_Seasonal!A:X,10,FALSE),0)</f>
        <v>0</v>
      </c>
      <c r="H96" s="610">
        <f>IFERROR(VLOOKUP($A96,Race_2024_Seasonal!A:X,11,FALSE),0)</f>
        <v>0</v>
      </c>
      <c r="I96" s="610">
        <f>IFERROR(VLOOKUP($A96,Race_2024_Seasonal!A:X,12,FALSE),0)</f>
        <v>0</v>
      </c>
      <c r="J96" s="610">
        <f>IFERROR(VLOOKUP($A96,Race_2024_Seasonal!A:X,13,FALSE),0)</f>
        <v>0</v>
      </c>
      <c r="K96" s="610">
        <f>IFERROR(VLOOKUP($A96,Race_2024_Seasonal!A:X,14,FALSE),0)</f>
        <v>0</v>
      </c>
      <c r="L96" s="610">
        <f>IFERROR(VLOOKUP($A96,Race_2024_Seasonal!A:X,15,FALSE),0)</f>
        <v>0</v>
      </c>
      <c r="M96" s="610">
        <f>IFERROR(VLOOKUP($A96,Race_2024_Seasonal!A:X,16,FALSE),0)</f>
        <v>0</v>
      </c>
      <c r="N96" s="610">
        <f>IFERROR(VLOOKUP($A96,Race_2024_Seasonal!A:X,17,FALSE),0)</f>
        <v>0</v>
      </c>
      <c r="O96" s="610">
        <f>IFERROR(VLOOKUP($A96,Race_2024_Seasonal!A:X,18,FALSE),0)</f>
        <v>0</v>
      </c>
      <c r="P96" s="542"/>
      <c r="Q96" s="610">
        <f t="shared" si="1"/>
        <v>0</v>
      </c>
      <c r="R96" s="542"/>
      <c r="S96" s="659">
        <f>Q96-'P&amp;L'!I96</f>
        <v>0</v>
      </c>
    </row>
    <row r="97" spans="1:19" ht="15" x14ac:dyDescent="0.25">
      <c r="A97" s="534" t="s">
        <v>914</v>
      </c>
      <c r="B97" s="534" t="e">
        <f>IFERROR(VLOOKUP(A97,Race_2024_Seasonal!A:C,3,FALSE), VLOOKUP(A97,Race_2024_Seasonal!A:C,3,FALSE))</f>
        <v>#N/A</v>
      </c>
      <c r="C97" s="541" t="s">
        <v>915</v>
      </c>
      <c r="D97" s="610">
        <f>IFERROR(VLOOKUP($A97,Race_2024_Seasonal!A:X,7,FALSE),0)</f>
        <v>0</v>
      </c>
      <c r="E97" s="610">
        <f>IFERROR(VLOOKUP($A97,Race_2024_Seasonal!A:X,8,FALSE),0)</f>
        <v>0</v>
      </c>
      <c r="F97" s="610">
        <f>IFERROR(VLOOKUP($A97,Race_2024_Seasonal!A:X,9,FALSE),0)</f>
        <v>0</v>
      </c>
      <c r="G97" s="610">
        <f>IFERROR(VLOOKUP($A97,Race_2024_Seasonal!A:X,10,FALSE),0)</f>
        <v>0</v>
      </c>
      <c r="H97" s="610">
        <f>IFERROR(VLOOKUP($A97,Race_2024_Seasonal!A:X,11,FALSE),0)</f>
        <v>0</v>
      </c>
      <c r="I97" s="610">
        <f>IFERROR(VLOOKUP($A97,Race_2024_Seasonal!A:X,12,FALSE),0)</f>
        <v>0</v>
      </c>
      <c r="J97" s="610">
        <f>IFERROR(VLOOKUP($A97,Race_2024_Seasonal!A:X,13,FALSE),0)</f>
        <v>0</v>
      </c>
      <c r="K97" s="610">
        <f>IFERROR(VLOOKUP($A97,Race_2024_Seasonal!A:X,14,FALSE),0)</f>
        <v>0</v>
      </c>
      <c r="L97" s="610">
        <f>IFERROR(VLOOKUP($A97,Race_2024_Seasonal!A:X,15,FALSE),0)</f>
        <v>0</v>
      </c>
      <c r="M97" s="610">
        <f>IFERROR(VLOOKUP($A97,Race_2024_Seasonal!A:X,16,FALSE),0)</f>
        <v>0</v>
      </c>
      <c r="N97" s="610">
        <f>IFERROR(VLOOKUP($A97,Race_2024_Seasonal!A:X,17,FALSE),0)</f>
        <v>0</v>
      </c>
      <c r="O97" s="610">
        <f>IFERROR(VLOOKUP($A97,Race_2024_Seasonal!A:X,18,FALSE),0)</f>
        <v>0</v>
      </c>
      <c r="P97" s="542"/>
      <c r="Q97" s="610">
        <f t="shared" si="1"/>
        <v>0</v>
      </c>
      <c r="R97" s="542"/>
      <c r="S97" s="659">
        <f>Q97-'P&amp;L'!I97</f>
        <v>0</v>
      </c>
    </row>
    <row r="98" spans="1:19" ht="15" x14ac:dyDescent="0.25">
      <c r="A98" s="534" t="s">
        <v>916</v>
      </c>
      <c r="B98" s="534" t="e">
        <f>IFERROR(VLOOKUP(A98,Race_2024_Seasonal!A:C,3,FALSE), VLOOKUP(A98,Race_2024_Seasonal!A:C,3,FALSE))</f>
        <v>#N/A</v>
      </c>
      <c r="C98" s="541" t="s">
        <v>917</v>
      </c>
      <c r="D98" s="613">
        <f>IFERROR(VLOOKUP($A98,Race_2024_Seasonal!A:X,7,FALSE),0)</f>
        <v>0</v>
      </c>
      <c r="E98" s="613">
        <f>IFERROR(VLOOKUP($A98,Race_2024_Seasonal!A:X,8,FALSE),0)</f>
        <v>0</v>
      </c>
      <c r="F98" s="613">
        <f>IFERROR(VLOOKUP($A98,Race_2024_Seasonal!A:X,9,FALSE),0)</f>
        <v>0</v>
      </c>
      <c r="G98" s="613">
        <f>IFERROR(VLOOKUP($A98,Race_2024_Seasonal!A:X,10,FALSE),0)</f>
        <v>0</v>
      </c>
      <c r="H98" s="613">
        <f>IFERROR(VLOOKUP($A98,Race_2024_Seasonal!A:X,11,FALSE),0)</f>
        <v>0</v>
      </c>
      <c r="I98" s="613">
        <f>IFERROR(VLOOKUP($A98,Race_2024_Seasonal!A:X,12,FALSE),0)</f>
        <v>0</v>
      </c>
      <c r="J98" s="613">
        <f>IFERROR(VLOOKUP($A98,Race_2024_Seasonal!A:X,13,FALSE),0)</f>
        <v>0</v>
      </c>
      <c r="K98" s="613">
        <f>IFERROR(VLOOKUP($A98,Race_2024_Seasonal!A:X,14,FALSE),0)</f>
        <v>0</v>
      </c>
      <c r="L98" s="613">
        <f>IFERROR(VLOOKUP($A98,Race_2024_Seasonal!A:X,15,FALSE),0)</f>
        <v>0</v>
      </c>
      <c r="M98" s="613">
        <f>IFERROR(VLOOKUP($A98,Race_2024_Seasonal!A:X,16,FALSE),0)</f>
        <v>0</v>
      </c>
      <c r="N98" s="613">
        <f>IFERROR(VLOOKUP($A98,Race_2024_Seasonal!A:X,17,FALSE),0)</f>
        <v>0</v>
      </c>
      <c r="O98" s="613">
        <f>IFERROR(VLOOKUP($A98,Race_2024_Seasonal!A:X,18,FALSE),0)</f>
        <v>0</v>
      </c>
      <c r="P98" s="542"/>
      <c r="Q98" s="613">
        <f t="shared" si="1"/>
        <v>0</v>
      </c>
      <c r="R98" s="542"/>
      <c r="S98" s="659">
        <f>Q98-'P&amp;L'!I98</f>
        <v>0</v>
      </c>
    </row>
    <row r="99" spans="1:19" ht="15" x14ac:dyDescent="0.25">
      <c r="A99" s="534" t="s">
        <v>918</v>
      </c>
      <c r="B99" s="534" t="e">
        <f>IFERROR(VLOOKUP(A99,Race_2024_Seasonal!A:C,3,FALSE), VLOOKUP(A99,Race_2024_Seasonal!A:C,3,FALSE))</f>
        <v>#N/A</v>
      </c>
      <c r="C99" s="541" t="s">
        <v>919</v>
      </c>
      <c r="D99" s="610">
        <f>IFERROR(VLOOKUP($A99,Race_2024_Seasonal!A:X,7,FALSE),0)</f>
        <v>0</v>
      </c>
      <c r="E99" s="610">
        <f>IFERROR(VLOOKUP($A99,Race_2024_Seasonal!A:X,8,FALSE),0)</f>
        <v>0</v>
      </c>
      <c r="F99" s="610">
        <f>IFERROR(VLOOKUP($A99,Race_2024_Seasonal!A:X,9,FALSE),0)</f>
        <v>0</v>
      </c>
      <c r="G99" s="610">
        <f>IFERROR(VLOOKUP($A99,Race_2024_Seasonal!A:X,10,FALSE),0)</f>
        <v>0</v>
      </c>
      <c r="H99" s="610">
        <f>IFERROR(VLOOKUP($A99,Race_2024_Seasonal!A:X,11,FALSE),0)</f>
        <v>0</v>
      </c>
      <c r="I99" s="610">
        <f>IFERROR(VLOOKUP($A99,Race_2024_Seasonal!A:X,12,FALSE),0)</f>
        <v>0</v>
      </c>
      <c r="J99" s="610">
        <f>IFERROR(VLOOKUP($A99,Race_2024_Seasonal!A:X,13,FALSE),0)</f>
        <v>0</v>
      </c>
      <c r="K99" s="610">
        <f>IFERROR(VLOOKUP($A99,Race_2024_Seasonal!A:X,14,FALSE),0)</f>
        <v>0</v>
      </c>
      <c r="L99" s="610">
        <f>IFERROR(VLOOKUP($A99,Race_2024_Seasonal!A:X,15,FALSE),0)</f>
        <v>0</v>
      </c>
      <c r="M99" s="610">
        <f>IFERROR(VLOOKUP($A99,Race_2024_Seasonal!A:X,16,FALSE),0)</f>
        <v>0</v>
      </c>
      <c r="N99" s="610">
        <f>IFERROR(VLOOKUP($A99,Race_2024_Seasonal!A:X,17,FALSE),0)</f>
        <v>0</v>
      </c>
      <c r="O99" s="610">
        <f>IFERROR(VLOOKUP($A99,Race_2024_Seasonal!A:X,18,FALSE),0)</f>
        <v>0</v>
      </c>
      <c r="P99" s="542"/>
      <c r="Q99" s="610">
        <f t="shared" si="1"/>
        <v>0</v>
      </c>
      <c r="R99" s="542"/>
      <c r="S99" s="659">
        <f>Q99-'P&amp;L'!I99</f>
        <v>0</v>
      </c>
    </row>
    <row r="100" spans="1:19" ht="15" x14ac:dyDescent="0.25">
      <c r="A100" s="534" t="s">
        <v>920</v>
      </c>
      <c r="B100" s="534" t="e">
        <f>IFERROR(VLOOKUP(A100,Race_2024_Seasonal!A:C,3,FALSE), VLOOKUP(A100,Race_2024_Seasonal!A:C,3,FALSE))</f>
        <v>#N/A</v>
      </c>
      <c r="C100" s="647" t="s">
        <v>921</v>
      </c>
      <c r="D100" s="610">
        <f>IFERROR(VLOOKUP($A100,Race_2024_Seasonal!A:X,7,FALSE),0)</f>
        <v>0</v>
      </c>
      <c r="E100" s="610">
        <f>IFERROR(VLOOKUP($A100,Race_2024_Seasonal!A:X,8,FALSE),0)</f>
        <v>0</v>
      </c>
      <c r="F100" s="610">
        <f>IFERROR(VLOOKUP($A100,Race_2024_Seasonal!A:X,9,FALSE),0)</f>
        <v>0</v>
      </c>
      <c r="G100" s="610">
        <f>IFERROR(VLOOKUP($A100,Race_2024_Seasonal!A:X,10,FALSE),0)</f>
        <v>0</v>
      </c>
      <c r="H100" s="610">
        <f>IFERROR(VLOOKUP($A100,Race_2024_Seasonal!A:X,11,FALSE),0)</f>
        <v>0</v>
      </c>
      <c r="I100" s="610">
        <f>IFERROR(VLOOKUP($A100,Race_2024_Seasonal!A:X,12,FALSE),0)</f>
        <v>0</v>
      </c>
      <c r="J100" s="610">
        <f>IFERROR(VLOOKUP($A100,Race_2024_Seasonal!A:X,13,FALSE),0)</f>
        <v>0</v>
      </c>
      <c r="K100" s="610">
        <f>IFERROR(VLOOKUP($A100,Race_2024_Seasonal!A:X,14,FALSE),0)</f>
        <v>0</v>
      </c>
      <c r="L100" s="610">
        <f>IFERROR(VLOOKUP($A100,Race_2024_Seasonal!A:X,15,FALSE),0)</f>
        <v>0</v>
      </c>
      <c r="M100" s="610">
        <f>IFERROR(VLOOKUP($A100,Race_2024_Seasonal!A:X,16,FALSE),0)</f>
        <v>0</v>
      </c>
      <c r="N100" s="610">
        <f>IFERROR(VLOOKUP($A100,Race_2024_Seasonal!A:X,17,FALSE),0)</f>
        <v>0</v>
      </c>
      <c r="O100" s="610">
        <f>IFERROR(VLOOKUP($A100,Race_2024_Seasonal!A:X,18,FALSE),0)</f>
        <v>0</v>
      </c>
      <c r="P100" s="542"/>
      <c r="Q100" s="610">
        <f t="shared" si="1"/>
        <v>0</v>
      </c>
      <c r="R100" s="542"/>
      <c r="S100" s="659">
        <f>Q100-'P&amp;L'!I100</f>
        <v>0</v>
      </c>
    </row>
    <row r="101" spans="1:19" ht="15" x14ac:dyDescent="0.25">
      <c r="A101" s="534" t="s">
        <v>922</v>
      </c>
      <c r="B101" s="534" t="e">
        <f>IFERROR(VLOOKUP(A101,Race_2024_Seasonal!A:C,3,FALSE), VLOOKUP(A101,Race_2024_Seasonal!A:C,3,FALSE))</f>
        <v>#N/A</v>
      </c>
      <c r="C101" s="537" t="s">
        <v>923</v>
      </c>
      <c r="D101" s="610">
        <f>IFERROR(VLOOKUP($A101,Race_2024_Seasonal!A:X,7,FALSE),0)</f>
        <v>0</v>
      </c>
      <c r="E101" s="610">
        <f>IFERROR(VLOOKUP($A101,Race_2024_Seasonal!A:X,8,FALSE),0)</f>
        <v>0</v>
      </c>
      <c r="F101" s="610">
        <f>IFERROR(VLOOKUP($A101,Race_2024_Seasonal!A:X,9,FALSE),0)</f>
        <v>0</v>
      </c>
      <c r="G101" s="610">
        <f>IFERROR(VLOOKUP($A101,Race_2024_Seasonal!A:X,10,FALSE),0)</f>
        <v>0</v>
      </c>
      <c r="H101" s="610">
        <f>IFERROR(VLOOKUP($A101,Race_2024_Seasonal!A:X,11,FALSE),0)</f>
        <v>0</v>
      </c>
      <c r="I101" s="610">
        <f>IFERROR(VLOOKUP($A101,Race_2024_Seasonal!A:X,12,FALSE),0)</f>
        <v>0</v>
      </c>
      <c r="J101" s="610">
        <f>IFERROR(VLOOKUP($A101,Race_2024_Seasonal!A:X,13,FALSE),0)</f>
        <v>0</v>
      </c>
      <c r="K101" s="610">
        <f>IFERROR(VLOOKUP($A101,Race_2024_Seasonal!A:X,14,FALSE),0)</f>
        <v>0</v>
      </c>
      <c r="L101" s="610">
        <f>IFERROR(VLOOKUP($A101,Race_2024_Seasonal!A:X,15,FALSE),0)</f>
        <v>0</v>
      </c>
      <c r="M101" s="610">
        <f>IFERROR(VLOOKUP($A101,Race_2024_Seasonal!A:X,16,FALSE),0)</f>
        <v>0</v>
      </c>
      <c r="N101" s="610">
        <f>IFERROR(VLOOKUP($A101,Race_2024_Seasonal!A:X,17,FALSE),0)</f>
        <v>0</v>
      </c>
      <c r="O101" s="610">
        <f>IFERROR(VLOOKUP($A101,Race_2024_Seasonal!A:X,18,FALSE),0)</f>
        <v>0</v>
      </c>
      <c r="P101" s="542"/>
      <c r="Q101" s="610">
        <f t="shared" si="1"/>
        <v>0</v>
      </c>
      <c r="R101" s="542"/>
      <c r="S101" s="659">
        <f>Q101-'P&amp;L'!I101</f>
        <v>0</v>
      </c>
    </row>
    <row r="102" spans="1:19" ht="15" x14ac:dyDescent="0.25">
      <c r="A102" s="534" t="s">
        <v>924</v>
      </c>
      <c r="B102" s="534" t="e">
        <f>IFERROR(VLOOKUP(A102,Race_2024_Seasonal!A:C,3,FALSE), VLOOKUP(A102,Race_2024_Seasonal!A:C,3,FALSE))</f>
        <v>#N/A</v>
      </c>
      <c r="C102" s="541" t="s">
        <v>925</v>
      </c>
      <c r="D102" s="610">
        <f>IFERROR(VLOOKUP($A102,Race_2024_Seasonal!A:X,7,FALSE),0)</f>
        <v>0</v>
      </c>
      <c r="E102" s="610">
        <f>IFERROR(VLOOKUP($A102,Race_2024_Seasonal!A:X,8,FALSE),0)</f>
        <v>0</v>
      </c>
      <c r="F102" s="610">
        <f>IFERROR(VLOOKUP($A102,Race_2024_Seasonal!A:X,9,FALSE),0)</f>
        <v>0</v>
      </c>
      <c r="G102" s="610">
        <f>IFERROR(VLOOKUP($A102,Race_2024_Seasonal!A:X,10,FALSE),0)</f>
        <v>0</v>
      </c>
      <c r="H102" s="610">
        <f>IFERROR(VLOOKUP($A102,Race_2024_Seasonal!A:X,11,FALSE),0)</f>
        <v>0</v>
      </c>
      <c r="I102" s="610">
        <f>IFERROR(VLOOKUP($A102,Race_2024_Seasonal!A:X,12,FALSE),0)</f>
        <v>0</v>
      </c>
      <c r="J102" s="610">
        <f>IFERROR(VLOOKUP($A102,Race_2024_Seasonal!A:X,13,FALSE),0)</f>
        <v>0</v>
      </c>
      <c r="K102" s="610">
        <f>IFERROR(VLOOKUP($A102,Race_2024_Seasonal!A:X,14,FALSE),0)</f>
        <v>0</v>
      </c>
      <c r="L102" s="610">
        <f>IFERROR(VLOOKUP($A102,Race_2024_Seasonal!A:X,15,FALSE),0)</f>
        <v>0</v>
      </c>
      <c r="M102" s="610">
        <f>IFERROR(VLOOKUP($A102,Race_2024_Seasonal!A:X,16,FALSE),0)</f>
        <v>0</v>
      </c>
      <c r="N102" s="610">
        <f>IFERROR(VLOOKUP($A102,Race_2024_Seasonal!A:X,17,FALSE),0)</f>
        <v>0</v>
      </c>
      <c r="O102" s="610">
        <f>IFERROR(VLOOKUP($A102,Race_2024_Seasonal!A:X,18,FALSE),0)</f>
        <v>0</v>
      </c>
      <c r="P102" s="542"/>
      <c r="Q102" s="610">
        <f t="shared" si="1"/>
        <v>0</v>
      </c>
      <c r="R102" s="542"/>
      <c r="S102" s="659">
        <f>Q102-'P&amp;L'!I102</f>
        <v>0</v>
      </c>
    </row>
    <row r="103" spans="1:19" ht="15" x14ac:dyDescent="0.25">
      <c r="A103" s="534" t="s">
        <v>926</v>
      </c>
      <c r="B103" s="534" t="e">
        <f>IFERROR(VLOOKUP(A103,Race_2024_Seasonal!A:C,3,FALSE), VLOOKUP(A103,Race_2024_Seasonal!A:C,3,FALSE))</f>
        <v>#N/A</v>
      </c>
      <c r="C103" s="541" t="s">
        <v>927</v>
      </c>
      <c r="D103" s="610">
        <f>IFERROR(VLOOKUP($A103,Race_2024_Seasonal!A:X,7,FALSE),0)</f>
        <v>0</v>
      </c>
      <c r="E103" s="610">
        <f>IFERROR(VLOOKUP($A103,Race_2024_Seasonal!A:X,8,FALSE),0)</f>
        <v>0</v>
      </c>
      <c r="F103" s="610">
        <f>IFERROR(VLOOKUP($A103,Race_2024_Seasonal!A:X,9,FALSE),0)</f>
        <v>0</v>
      </c>
      <c r="G103" s="610">
        <f>IFERROR(VLOOKUP($A103,Race_2024_Seasonal!A:X,10,FALSE),0)</f>
        <v>0</v>
      </c>
      <c r="H103" s="610">
        <f>IFERROR(VLOOKUP($A103,Race_2024_Seasonal!A:X,11,FALSE),0)</f>
        <v>0</v>
      </c>
      <c r="I103" s="610">
        <f>IFERROR(VLOOKUP($A103,Race_2024_Seasonal!A:X,12,FALSE),0)</f>
        <v>0</v>
      </c>
      <c r="J103" s="610">
        <f>IFERROR(VLOOKUP($A103,Race_2024_Seasonal!A:X,13,FALSE),0)</f>
        <v>0</v>
      </c>
      <c r="K103" s="610">
        <f>IFERROR(VLOOKUP($A103,Race_2024_Seasonal!A:X,14,FALSE),0)</f>
        <v>0</v>
      </c>
      <c r="L103" s="610">
        <f>IFERROR(VLOOKUP($A103,Race_2024_Seasonal!A:X,15,FALSE),0)</f>
        <v>0</v>
      </c>
      <c r="M103" s="610">
        <f>IFERROR(VLOOKUP($A103,Race_2024_Seasonal!A:X,16,FALSE),0)</f>
        <v>0</v>
      </c>
      <c r="N103" s="610">
        <f>IFERROR(VLOOKUP($A103,Race_2024_Seasonal!A:X,17,FALSE),0)</f>
        <v>0</v>
      </c>
      <c r="O103" s="610">
        <f>IFERROR(VLOOKUP($A103,Race_2024_Seasonal!A:X,18,FALSE),0)</f>
        <v>0</v>
      </c>
      <c r="P103" s="542"/>
      <c r="Q103" s="610">
        <f t="shared" si="1"/>
        <v>0</v>
      </c>
      <c r="R103" s="542"/>
      <c r="S103" s="659">
        <f>Q103-'P&amp;L'!I103</f>
        <v>0</v>
      </c>
    </row>
    <row r="104" spans="1:19" ht="15" x14ac:dyDescent="0.25">
      <c r="A104" s="534" t="s">
        <v>928</v>
      </c>
      <c r="B104" s="534" t="e">
        <f>IFERROR(VLOOKUP(A104,Race_2024_Seasonal!A:C,3,FALSE), VLOOKUP(A104,Race_2024_Seasonal!A:C,3,FALSE))</f>
        <v>#N/A</v>
      </c>
      <c r="C104" s="541" t="s">
        <v>929</v>
      </c>
      <c r="D104" s="610">
        <f>IFERROR(VLOOKUP($A104,Race_2024_Seasonal!A:X,7,FALSE),0)</f>
        <v>0</v>
      </c>
      <c r="E104" s="610">
        <f>IFERROR(VLOOKUP($A104,Race_2024_Seasonal!A:X,8,FALSE),0)</f>
        <v>0</v>
      </c>
      <c r="F104" s="610">
        <f>IFERROR(VLOOKUP($A104,Race_2024_Seasonal!A:X,9,FALSE),0)</f>
        <v>0</v>
      </c>
      <c r="G104" s="610">
        <f>IFERROR(VLOOKUP($A104,Race_2024_Seasonal!A:X,10,FALSE),0)</f>
        <v>0</v>
      </c>
      <c r="H104" s="610">
        <f>IFERROR(VLOOKUP($A104,Race_2024_Seasonal!A:X,11,FALSE),0)</f>
        <v>0</v>
      </c>
      <c r="I104" s="610">
        <f>IFERROR(VLOOKUP($A104,Race_2024_Seasonal!A:X,12,FALSE),0)</f>
        <v>0</v>
      </c>
      <c r="J104" s="610">
        <f>IFERROR(VLOOKUP($A104,Race_2024_Seasonal!A:X,13,FALSE),0)</f>
        <v>0</v>
      </c>
      <c r="K104" s="610">
        <f>IFERROR(VLOOKUP($A104,Race_2024_Seasonal!A:X,14,FALSE),0)</f>
        <v>0</v>
      </c>
      <c r="L104" s="610">
        <f>IFERROR(VLOOKUP($A104,Race_2024_Seasonal!A:X,15,FALSE),0)</f>
        <v>0</v>
      </c>
      <c r="M104" s="610">
        <f>IFERROR(VLOOKUP($A104,Race_2024_Seasonal!A:X,16,FALSE),0)</f>
        <v>0</v>
      </c>
      <c r="N104" s="610">
        <f>IFERROR(VLOOKUP($A104,Race_2024_Seasonal!A:X,17,FALSE),0)</f>
        <v>0</v>
      </c>
      <c r="O104" s="610">
        <f>IFERROR(VLOOKUP($A104,Race_2024_Seasonal!A:X,18,FALSE),0)</f>
        <v>0</v>
      </c>
      <c r="P104" s="542"/>
      <c r="Q104" s="610">
        <f t="shared" si="1"/>
        <v>0</v>
      </c>
      <c r="R104" s="542"/>
      <c r="S104" s="659">
        <f>Q104-'P&amp;L'!I104</f>
        <v>0</v>
      </c>
    </row>
    <row r="105" spans="1:19" ht="15" x14ac:dyDescent="0.25">
      <c r="A105" s="534" t="s">
        <v>930</v>
      </c>
      <c r="B105" s="534" t="e">
        <f>IFERROR(VLOOKUP(A105,Race_2024_Seasonal!A:C,3,FALSE), VLOOKUP(A105,Race_2024_Seasonal!A:C,3,FALSE))</f>
        <v>#N/A</v>
      </c>
      <c r="C105" s="537" t="s">
        <v>931</v>
      </c>
      <c r="D105" s="610">
        <f>IFERROR(VLOOKUP($A105,Race_2024_Seasonal!A:X,7,FALSE),0)</f>
        <v>0</v>
      </c>
      <c r="E105" s="610">
        <f>IFERROR(VLOOKUP($A105,Race_2024_Seasonal!A:X,8,FALSE),0)</f>
        <v>0</v>
      </c>
      <c r="F105" s="610">
        <f>IFERROR(VLOOKUP($A105,Race_2024_Seasonal!A:X,9,FALSE),0)</f>
        <v>0</v>
      </c>
      <c r="G105" s="610">
        <f>IFERROR(VLOOKUP($A105,Race_2024_Seasonal!A:X,10,FALSE),0)</f>
        <v>0</v>
      </c>
      <c r="H105" s="610">
        <f>IFERROR(VLOOKUP($A105,Race_2024_Seasonal!A:X,11,FALSE),0)</f>
        <v>0</v>
      </c>
      <c r="I105" s="610">
        <f>IFERROR(VLOOKUP($A105,Race_2024_Seasonal!A:X,12,FALSE),0)</f>
        <v>0</v>
      </c>
      <c r="J105" s="610">
        <f>IFERROR(VLOOKUP($A105,Race_2024_Seasonal!A:X,13,FALSE),0)</f>
        <v>0</v>
      </c>
      <c r="K105" s="610">
        <f>IFERROR(VLOOKUP($A105,Race_2024_Seasonal!A:X,14,FALSE),0)</f>
        <v>0</v>
      </c>
      <c r="L105" s="610">
        <f>IFERROR(VLOOKUP($A105,Race_2024_Seasonal!A:X,15,FALSE),0)</f>
        <v>0</v>
      </c>
      <c r="M105" s="610">
        <f>IFERROR(VLOOKUP($A105,Race_2024_Seasonal!A:X,16,FALSE),0)</f>
        <v>0</v>
      </c>
      <c r="N105" s="610">
        <f>IFERROR(VLOOKUP($A105,Race_2024_Seasonal!A:X,17,FALSE),0)</f>
        <v>0</v>
      </c>
      <c r="O105" s="610">
        <f>IFERROR(VLOOKUP($A105,Race_2024_Seasonal!A:X,18,FALSE),0)</f>
        <v>0</v>
      </c>
      <c r="P105" s="542"/>
      <c r="Q105" s="610">
        <f t="shared" si="1"/>
        <v>0</v>
      </c>
      <c r="R105" s="542"/>
      <c r="S105" s="659">
        <f>Q105-'P&amp;L'!I105</f>
        <v>0</v>
      </c>
    </row>
    <row r="106" spans="1:19" ht="15" x14ac:dyDescent="0.25">
      <c r="A106" s="534" t="s">
        <v>932</v>
      </c>
      <c r="B106" s="534" t="e">
        <f>IFERROR(VLOOKUP(A106,Race_2024_Seasonal!A:C,3,FALSE), VLOOKUP(A106,Race_2024_Seasonal!A:C,3,FALSE))</f>
        <v>#N/A</v>
      </c>
      <c r="C106" s="541" t="s">
        <v>933</v>
      </c>
      <c r="D106" s="610">
        <f>IFERROR(VLOOKUP($A106,Race_2024_Seasonal!A:X,7,FALSE),0)</f>
        <v>0</v>
      </c>
      <c r="E106" s="610">
        <f>IFERROR(VLOOKUP($A106,Race_2024_Seasonal!A:X,8,FALSE),0)</f>
        <v>0</v>
      </c>
      <c r="F106" s="610">
        <f>IFERROR(VLOOKUP($A106,Race_2024_Seasonal!A:X,9,FALSE),0)</f>
        <v>0</v>
      </c>
      <c r="G106" s="610">
        <f>IFERROR(VLOOKUP($A106,Race_2024_Seasonal!A:X,10,FALSE),0)</f>
        <v>0</v>
      </c>
      <c r="H106" s="610">
        <f>IFERROR(VLOOKUP($A106,Race_2024_Seasonal!A:X,11,FALSE),0)</f>
        <v>0</v>
      </c>
      <c r="I106" s="610">
        <f>IFERROR(VLOOKUP($A106,Race_2024_Seasonal!A:X,12,FALSE),0)</f>
        <v>0</v>
      </c>
      <c r="J106" s="610">
        <f>IFERROR(VLOOKUP($A106,Race_2024_Seasonal!A:X,13,FALSE),0)</f>
        <v>0</v>
      </c>
      <c r="K106" s="610">
        <f>IFERROR(VLOOKUP($A106,Race_2024_Seasonal!A:X,14,FALSE),0)</f>
        <v>0</v>
      </c>
      <c r="L106" s="610">
        <f>IFERROR(VLOOKUP($A106,Race_2024_Seasonal!A:X,15,FALSE),0)</f>
        <v>0</v>
      </c>
      <c r="M106" s="610">
        <f>IFERROR(VLOOKUP($A106,Race_2024_Seasonal!A:X,16,FALSE),0)</f>
        <v>0</v>
      </c>
      <c r="N106" s="610">
        <f>IFERROR(VLOOKUP($A106,Race_2024_Seasonal!A:X,17,FALSE),0)</f>
        <v>0</v>
      </c>
      <c r="O106" s="610">
        <f>IFERROR(VLOOKUP($A106,Race_2024_Seasonal!A:X,18,FALSE),0)</f>
        <v>0</v>
      </c>
      <c r="P106" s="542"/>
      <c r="Q106" s="610">
        <f t="shared" si="1"/>
        <v>0</v>
      </c>
      <c r="R106" s="542"/>
      <c r="S106" s="659">
        <f>Q106-'P&amp;L'!I106</f>
        <v>0</v>
      </c>
    </row>
    <row r="107" spans="1:19" ht="15" x14ac:dyDescent="0.25">
      <c r="A107" s="534" t="s">
        <v>934</v>
      </c>
      <c r="B107" s="534" t="e">
        <f>IFERROR(VLOOKUP(A107,Race_2024_Seasonal!A:C,3,FALSE), VLOOKUP(A107,Race_2024_Seasonal!A:C,3,FALSE))</f>
        <v>#N/A</v>
      </c>
      <c r="C107" s="541" t="s">
        <v>935</v>
      </c>
      <c r="D107" s="610">
        <f>IFERROR(VLOOKUP($A107,Race_2024_Seasonal!A:X,7,FALSE),0)</f>
        <v>0</v>
      </c>
      <c r="E107" s="610">
        <f>IFERROR(VLOOKUP($A107,Race_2024_Seasonal!A:X,8,FALSE),0)</f>
        <v>0</v>
      </c>
      <c r="F107" s="610">
        <f>IFERROR(VLOOKUP($A107,Race_2024_Seasonal!A:X,9,FALSE),0)</f>
        <v>0</v>
      </c>
      <c r="G107" s="610">
        <f>IFERROR(VLOOKUP($A107,Race_2024_Seasonal!A:X,10,FALSE),0)</f>
        <v>0</v>
      </c>
      <c r="H107" s="610">
        <f>IFERROR(VLOOKUP($A107,Race_2024_Seasonal!A:X,11,FALSE),0)</f>
        <v>0</v>
      </c>
      <c r="I107" s="610">
        <f>IFERROR(VLOOKUP($A107,Race_2024_Seasonal!A:X,12,FALSE),0)</f>
        <v>0</v>
      </c>
      <c r="J107" s="610">
        <f>IFERROR(VLOOKUP($A107,Race_2024_Seasonal!A:X,13,FALSE),0)</f>
        <v>0</v>
      </c>
      <c r="K107" s="610">
        <f>IFERROR(VLOOKUP($A107,Race_2024_Seasonal!A:X,14,FALSE),0)</f>
        <v>0</v>
      </c>
      <c r="L107" s="610">
        <f>IFERROR(VLOOKUP($A107,Race_2024_Seasonal!A:X,15,FALSE),0)</f>
        <v>0</v>
      </c>
      <c r="M107" s="610">
        <f>IFERROR(VLOOKUP($A107,Race_2024_Seasonal!A:X,16,FALSE),0)</f>
        <v>0</v>
      </c>
      <c r="N107" s="610">
        <f>IFERROR(VLOOKUP($A107,Race_2024_Seasonal!A:X,17,FALSE),0)</f>
        <v>0</v>
      </c>
      <c r="O107" s="610">
        <f>IFERROR(VLOOKUP($A107,Race_2024_Seasonal!A:X,18,FALSE),0)</f>
        <v>0</v>
      </c>
      <c r="P107" s="542"/>
      <c r="Q107" s="610">
        <f t="shared" si="1"/>
        <v>0</v>
      </c>
      <c r="R107" s="542"/>
      <c r="S107" s="659">
        <f>Q107-'P&amp;L'!I107</f>
        <v>0</v>
      </c>
    </row>
    <row r="108" spans="1:19" ht="15" x14ac:dyDescent="0.25">
      <c r="A108" s="534" t="s">
        <v>936</v>
      </c>
      <c r="B108" s="534" t="e">
        <f>IFERROR(VLOOKUP(A108,Race_2024_Seasonal!A:C,3,FALSE), VLOOKUP(A108,Race_2024_Seasonal!A:C,3,FALSE))</f>
        <v>#N/A</v>
      </c>
      <c r="C108" s="543" t="s">
        <v>937</v>
      </c>
      <c r="D108" s="610">
        <f>IFERROR(VLOOKUP($A108,Race_2024_Seasonal!A:X,7,FALSE),0)</f>
        <v>0</v>
      </c>
      <c r="E108" s="610">
        <f>IFERROR(VLOOKUP($A108,Race_2024_Seasonal!A:X,8,FALSE),0)</f>
        <v>0</v>
      </c>
      <c r="F108" s="610">
        <f>IFERROR(VLOOKUP($A108,Race_2024_Seasonal!A:X,9,FALSE),0)</f>
        <v>0</v>
      </c>
      <c r="G108" s="610">
        <f>IFERROR(VLOOKUP($A108,Race_2024_Seasonal!A:X,10,FALSE),0)</f>
        <v>0</v>
      </c>
      <c r="H108" s="610">
        <f>IFERROR(VLOOKUP($A108,Race_2024_Seasonal!A:X,11,FALSE),0)</f>
        <v>0</v>
      </c>
      <c r="I108" s="610">
        <f>IFERROR(VLOOKUP($A108,Race_2024_Seasonal!A:X,12,FALSE),0)</f>
        <v>0</v>
      </c>
      <c r="J108" s="610">
        <f>IFERROR(VLOOKUP($A108,Race_2024_Seasonal!A:X,13,FALSE),0)</f>
        <v>0</v>
      </c>
      <c r="K108" s="610">
        <f>IFERROR(VLOOKUP($A108,Race_2024_Seasonal!A:X,14,FALSE),0)</f>
        <v>0</v>
      </c>
      <c r="L108" s="610">
        <f>IFERROR(VLOOKUP($A108,Race_2024_Seasonal!A:X,15,FALSE),0)</f>
        <v>0</v>
      </c>
      <c r="M108" s="610">
        <f>IFERROR(VLOOKUP($A108,Race_2024_Seasonal!A:X,16,FALSE),0)</f>
        <v>0</v>
      </c>
      <c r="N108" s="610">
        <f>IFERROR(VLOOKUP($A108,Race_2024_Seasonal!A:X,17,FALSE),0)</f>
        <v>0</v>
      </c>
      <c r="O108" s="610">
        <f>IFERROR(VLOOKUP($A108,Race_2024_Seasonal!A:X,18,FALSE),0)</f>
        <v>0</v>
      </c>
      <c r="P108" s="542"/>
      <c r="Q108" s="610">
        <f t="shared" si="1"/>
        <v>0</v>
      </c>
      <c r="R108" s="542"/>
      <c r="S108" s="659">
        <f>Q108-'P&amp;L'!I108</f>
        <v>0</v>
      </c>
    </row>
    <row r="109" spans="1:19" ht="15" x14ac:dyDescent="0.25">
      <c r="A109" s="534" t="s">
        <v>938</v>
      </c>
      <c r="B109" s="534" t="e">
        <f>IFERROR(VLOOKUP(A109,Race_2024_Seasonal!A:C,3,FALSE), VLOOKUP(A109,Race_2024_Seasonal!A:C,3,FALSE))</f>
        <v>#N/A</v>
      </c>
      <c r="C109" s="543" t="s">
        <v>939</v>
      </c>
      <c r="D109" s="610">
        <f>IFERROR(VLOOKUP($A109,Race_2024_Seasonal!A:X,7,FALSE),0)</f>
        <v>0</v>
      </c>
      <c r="E109" s="610">
        <f>IFERROR(VLOOKUP($A109,Race_2024_Seasonal!A:X,8,FALSE),0)</f>
        <v>0</v>
      </c>
      <c r="F109" s="610">
        <f>IFERROR(VLOOKUP($A109,Race_2024_Seasonal!A:X,9,FALSE),0)</f>
        <v>0</v>
      </c>
      <c r="G109" s="610">
        <f>IFERROR(VLOOKUP($A109,Race_2024_Seasonal!A:X,10,FALSE),0)</f>
        <v>0</v>
      </c>
      <c r="H109" s="610">
        <f>IFERROR(VLOOKUP($A109,Race_2024_Seasonal!A:X,11,FALSE),0)</f>
        <v>0</v>
      </c>
      <c r="I109" s="610">
        <f>IFERROR(VLOOKUP($A109,Race_2024_Seasonal!A:X,12,FALSE),0)</f>
        <v>0</v>
      </c>
      <c r="J109" s="610">
        <f>IFERROR(VLOOKUP($A109,Race_2024_Seasonal!A:X,13,FALSE),0)</f>
        <v>0</v>
      </c>
      <c r="K109" s="610">
        <f>IFERROR(VLOOKUP($A109,Race_2024_Seasonal!A:X,14,FALSE),0)</f>
        <v>0</v>
      </c>
      <c r="L109" s="610">
        <f>IFERROR(VLOOKUP($A109,Race_2024_Seasonal!A:X,15,FALSE),0)</f>
        <v>0</v>
      </c>
      <c r="M109" s="610">
        <f>IFERROR(VLOOKUP($A109,Race_2024_Seasonal!A:X,16,FALSE),0)</f>
        <v>0</v>
      </c>
      <c r="N109" s="610">
        <f>IFERROR(VLOOKUP($A109,Race_2024_Seasonal!A:X,17,FALSE),0)</f>
        <v>0</v>
      </c>
      <c r="O109" s="610">
        <f>IFERROR(VLOOKUP($A109,Race_2024_Seasonal!A:X,18,FALSE),0)</f>
        <v>0</v>
      </c>
      <c r="P109" s="542"/>
      <c r="Q109" s="610">
        <f t="shared" si="1"/>
        <v>0</v>
      </c>
      <c r="R109" s="542"/>
      <c r="S109" s="659">
        <f>Q109-'P&amp;L'!I109</f>
        <v>0</v>
      </c>
    </row>
    <row r="110" spans="1:19" ht="15" x14ac:dyDescent="0.25">
      <c r="A110" s="534" t="s">
        <v>940</v>
      </c>
      <c r="B110" s="534" t="e">
        <f>IFERROR(VLOOKUP(A110,Race_2024_Seasonal!A:C,3,FALSE), VLOOKUP(A110,Race_2024_Seasonal!A:C,3,FALSE))</f>
        <v>#N/A</v>
      </c>
      <c r="C110" s="543" t="s">
        <v>941</v>
      </c>
      <c r="D110" s="610">
        <f>IFERROR(VLOOKUP($A110,Race_2024_Seasonal!A:X,7,FALSE),0)</f>
        <v>0</v>
      </c>
      <c r="E110" s="610">
        <f>IFERROR(VLOOKUP($A110,Race_2024_Seasonal!A:X,8,FALSE),0)</f>
        <v>0</v>
      </c>
      <c r="F110" s="610">
        <f>IFERROR(VLOOKUP($A110,Race_2024_Seasonal!A:X,9,FALSE),0)</f>
        <v>0</v>
      </c>
      <c r="G110" s="610">
        <f>IFERROR(VLOOKUP($A110,Race_2024_Seasonal!A:X,10,FALSE),0)</f>
        <v>0</v>
      </c>
      <c r="H110" s="610">
        <f>IFERROR(VLOOKUP($A110,Race_2024_Seasonal!A:X,11,FALSE),0)</f>
        <v>0</v>
      </c>
      <c r="I110" s="610">
        <f>IFERROR(VLOOKUP($A110,Race_2024_Seasonal!A:X,12,FALSE),0)</f>
        <v>0</v>
      </c>
      <c r="J110" s="610">
        <f>IFERROR(VLOOKUP($A110,Race_2024_Seasonal!A:X,13,FALSE),0)</f>
        <v>0</v>
      </c>
      <c r="K110" s="610">
        <f>IFERROR(VLOOKUP($A110,Race_2024_Seasonal!A:X,14,FALSE),0)</f>
        <v>0</v>
      </c>
      <c r="L110" s="610">
        <f>IFERROR(VLOOKUP($A110,Race_2024_Seasonal!A:X,15,FALSE),0)</f>
        <v>0</v>
      </c>
      <c r="M110" s="610">
        <f>IFERROR(VLOOKUP($A110,Race_2024_Seasonal!A:X,16,FALSE),0)</f>
        <v>0</v>
      </c>
      <c r="N110" s="610">
        <f>IFERROR(VLOOKUP($A110,Race_2024_Seasonal!A:X,17,FALSE),0)</f>
        <v>0</v>
      </c>
      <c r="O110" s="610">
        <f>IFERROR(VLOOKUP($A110,Race_2024_Seasonal!A:X,18,FALSE),0)</f>
        <v>0</v>
      </c>
      <c r="P110" s="542"/>
      <c r="Q110" s="610">
        <f t="shared" si="1"/>
        <v>0</v>
      </c>
      <c r="R110" s="542"/>
      <c r="S110" s="659">
        <f>Q110-'P&amp;L'!I110</f>
        <v>0</v>
      </c>
    </row>
    <row r="111" spans="1:19" ht="15" x14ac:dyDescent="0.25">
      <c r="A111" s="534" t="s">
        <v>942</v>
      </c>
      <c r="B111" s="534" t="e">
        <f>IFERROR(VLOOKUP(A111,Race_2024_Seasonal!A:C,3,FALSE), VLOOKUP(A111,Race_2024_Seasonal!A:C,3,FALSE))</f>
        <v>#N/A</v>
      </c>
      <c r="C111" s="543" t="s">
        <v>943</v>
      </c>
      <c r="D111" s="610">
        <f>IFERROR(VLOOKUP($A111,Race_2024_Seasonal!A:X,7,FALSE),0)</f>
        <v>0</v>
      </c>
      <c r="E111" s="610">
        <f>IFERROR(VLOOKUP($A111,Race_2024_Seasonal!A:X,8,FALSE),0)</f>
        <v>0</v>
      </c>
      <c r="F111" s="610">
        <f>IFERROR(VLOOKUP($A111,Race_2024_Seasonal!A:X,9,FALSE),0)</f>
        <v>0</v>
      </c>
      <c r="G111" s="610">
        <f>IFERROR(VLOOKUP($A111,Race_2024_Seasonal!A:X,10,FALSE),0)</f>
        <v>0</v>
      </c>
      <c r="H111" s="610">
        <f>IFERROR(VLOOKUP($A111,Race_2024_Seasonal!A:X,11,FALSE),0)</f>
        <v>0</v>
      </c>
      <c r="I111" s="610">
        <f>IFERROR(VLOOKUP($A111,Race_2024_Seasonal!A:X,12,FALSE),0)</f>
        <v>0</v>
      </c>
      <c r="J111" s="610">
        <f>IFERROR(VLOOKUP($A111,Race_2024_Seasonal!A:X,13,FALSE),0)</f>
        <v>0</v>
      </c>
      <c r="K111" s="610">
        <f>IFERROR(VLOOKUP($A111,Race_2024_Seasonal!A:X,14,FALSE),0)</f>
        <v>0</v>
      </c>
      <c r="L111" s="610">
        <f>IFERROR(VLOOKUP($A111,Race_2024_Seasonal!A:X,15,FALSE),0)</f>
        <v>0</v>
      </c>
      <c r="M111" s="610">
        <f>IFERROR(VLOOKUP($A111,Race_2024_Seasonal!A:X,16,FALSE),0)</f>
        <v>0</v>
      </c>
      <c r="N111" s="610">
        <f>IFERROR(VLOOKUP($A111,Race_2024_Seasonal!A:X,17,FALSE),0)</f>
        <v>0</v>
      </c>
      <c r="O111" s="610">
        <f>IFERROR(VLOOKUP($A111,Race_2024_Seasonal!A:X,18,FALSE),0)</f>
        <v>0</v>
      </c>
      <c r="P111" s="542"/>
      <c r="Q111" s="610">
        <f t="shared" si="1"/>
        <v>0</v>
      </c>
      <c r="R111" s="533"/>
      <c r="S111" s="659">
        <f>Q111-'P&amp;L'!I111</f>
        <v>0</v>
      </c>
    </row>
    <row r="112" spans="1:19" ht="15" x14ac:dyDescent="0.25">
      <c r="A112" s="534" t="s">
        <v>944</v>
      </c>
      <c r="B112" s="534" t="e">
        <f>IFERROR(VLOOKUP(A112,Race_2024_Seasonal!A:C,3,FALSE), VLOOKUP(A112,Race_2024_Seasonal!A:C,3,FALSE))</f>
        <v>#N/A</v>
      </c>
      <c r="C112" s="543" t="s">
        <v>945</v>
      </c>
      <c r="D112" s="610">
        <f>IFERROR(VLOOKUP($A112,Race_2024_Seasonal!A:X,7,FALSE),0)</f>
        <v>0</v>
      </c>
      <c r="E112" s="610">
        <f>IFERROR(VLOOKUP($A112,Race_2024_Seasonal!A:X,8,FALSE),0)</f>
        <v>0</v>
      </c>
      <c r="F112" s="610">
        <f>IFERROR(VLOOKUP($A112,Race_2024_Seasonal!A:X,9,FALSE),0)</f>
        <v>0</v>
      </c>
      <c r="G112" s="610">
        <f>IFERROR(VLOOKUP($A112,Race_2024_Seasonal!A:X,10,FALSE),0)</f>
        <v>0</v>
      </c>
      <c r="H112" s="610">
        <f>IFERROR(VLOOKUP($A112,Race_2024_Seasonal!A:X,11,FALSE),0)</f>
        <v>0</v>
      </c>
      <c r="I112" s="610">
        <f>IFERROR(VLOOKUP($A112,Race_2024_Seasonal!A:X,12,FALSE),0)</f>
        <v>0</v>
      </c>
      <c r="J112" s="610">
        <f>IFERROR(VLOOKUP($A112,Race_2024_Seasonal!A:X,13,FALSE),0)</f>
        <v>0</v>
      </c>
      <c r="K112" s="610">
        <f>IFERROR(VLOOKUP($A112,Race_2024_Seasonal!A:X,14,FALSE),0)</f>
        <v>0</v>
      </c>
      <c r="L112" s="610">
        <f>IFERROR(VLOOKUP($A112,Race_2024_Seasonal!A:X,15,FALSE),0)</f>
        <v>0</v>
      </c>
      <c r="M112" s="610">
        <f>IFERROR(VLOOKUP($A112,Race_2024_Seasonal!A:X,16,FALSE),0)</f>
        <v>0</v>
      </c>
      <c r="N112" s="610">
        <f>IFERROR(VLOOKUP($A112,Race_2024_Seasonal!A:X,17,FALSE),0)</f>
        <v>0</v>
      </c>
      <c r="O112" s="610">
        <f>IFERROR(VLOOKUP($A112,Race_2024_Seasonal!A:X,18,FALSE),0)</f>
        <v>0</v>
      </c>
      <c r="P112" s="542"/>
      <c r="Q112" s="610">
        <f t="shared" si="1"/>
        <v>0</v>
      </c>
      <c r="R112" s="533"/>
      <c r="S112" s="659">
        <f>Q112-'P&amp;L'!I112</f>
        <v>0</v>
      </c>
    </row>
    <row r="113" spans="1:19" ht="15" x14ac:dyDescent="0.25">
      <c r="A113" s="534" t="s">
        <v>946</v>
      </c>
      <c r="B113" s="534" t="e">
        <f>IFERROR(VLOOKUP(A113,Race_2024_Seasonal!A:C,3,FALSE), VLOOKUP(A113,Race_2024_Seasonal!A:C,3,FALSE))</f>
        <v>#N/A</v>
      </c>
      <c r="C113" s="543" t="s">
        <v>947</v>
      </c>
      <c r="D113" s="610">
        <f>IFERROR(VLOOKUP($A113,Race_2024_Seasonal!A:X,7,FALSE),0)</f>
        <v>0</v>
      </c>
      <c r="E113" s="610">
        <f>IFERROR(VLOOKUP($A113,Race_2024_Seasonal!A:X,8,FALSE),0)</f>
        <v>0</v>
      </c>
      <c r="F113" s="610">
        <f>IFERROR(VLOOKUP($A113,Race_2024_Seasonal!A:X,9,FALSE),0)</f>
        <v>0</v>
      </c>
      <c r="G113" s="610">
        <f>IFERROR(VLOOKUP($A113,Race_2024_Seasonal!A:X,10,FALSE),0)</f>
        <v>0</v>
      </c>
      <c r="H113" s="610">
        <f>IFERROR(VLOOKUP($A113,Race_2024_Seasonal!A:X,11,FALSE),0)</f>
        <v>0</v>
      </c>
      <c r="I113" s="610">
        <f>IFERROR(VLOOKUP($A113,Race_2024_Seasonal!A:X,12,FALSE),0)</f>
        <v>0</v>
      </c>
      <c r="J113" s="610">
        <f>IFERROR(VLOOKUP($A113,Race_2024_Seasonal!A:X,13,FALSE),0)</f>
        <v>0</v>
      </c>
      <c r="K113" s="610">
        <f>IFERROR(VLOOKUP($A113,Race_2024_Seasonal!A:X,14,FALSE),0)</f>
        <v>0</v>
      </c>
      <c r="L113" s="610">
        <f>IFERROR(VLOOKUP($A113,Race_2024_Seasonal!A:X,15,FALSE),0)</f>
        <v>0</v>
      </c>
      <c r="M113" s="610">
        <f>IFERROR(VLOOKUP($A113,Race_2024_Seasonal!A:X,16,FALSE),0)</f>
        <v>0</v>
      </c>
      <c r="N113" s="610">
        <f>IFERROR(VLOOKUP($A113,Race_2024_Seasonal!A:X,17,FALSE),0)</f>
        <v>0</v>
      </c>
      <c r="O113" s="610">
        <f>IFERROR(VLOOKUP($A113,Race_2024_Seasonal!A:X,18,FALSE),0)</f>
        <v>0</v>
      </c>
      <c r="P113" s="542"/>
      <c r="Q113" s="610">
        <f t="shared" si="1"/>
        <v>0</v>
      </c>
      <c r="R113" s="533"/>
      <c r="S113" s="659">
        <f>Q113-'P&amp;L'!I113</f>
        <v>0</v>
      </c>
    </row>
    <row r="114" spans="1:19" ht="15" x14ac:dyDescent="0.25">
      <c r="A114" s="534" t="s">
        <v>948</v>
      </c>
      <c r="B114" s="534" t="e">
        <f>IFERROR(VLOOKUP(A114,Race_2024_Seasonal!A:C,3,FALSE), VLOOKUP(A114,Race_2024_Seasonal!A:C,3,FALSE))</f>
        <v>#N/A</v>
      </c>
      <c r="C114" s="543" t="s">
        <v>949</v>
      </c>
      <c r="D114" s="610">
        <f>IFERROR(VLOOKUP($A114,Race_2024_Seasonal!A:X,7,FALSE),0)</f>
        <v>0</v>
      </c>
      <c r="E114" s="610">
        <f>IFERROR(VLOOKUP($A114,Race_2024_Seasonal!A:X,8,FALSE),0)</f>
        <v>0</v>
      </c>
      <c r="F114" s="610">
        <f>IFERROR(VLOOKUP($A114,Race_2024_Seasonal!A:X,9,FALSE),0)</f>
        <v>0</v>
      </c>
      <c r="G114" s="610">
        <f>IFERROR(VLOOKUP($A114,Race_2024_Seasonal!A:X,10,FALSE),0)</f>
        <v>0</v>
      </c>
      <c r="H114" s="610">
        <f>IFERROR(VLOOKUP($A114,Race_2024_Seasonal!A:X,11,FALSE),0)</f>
        <v>0</v>
      </c>
      <c r="I114" s="610">
        <f>IFERROR(VLOOKUP($A114,Race_2024_Seasonal!A:X,12,FALSE),0)</f>
        <v>0</v>
      </c>
      <c r="J114" s="610">
        <f>IFERROR(VLOOKUP($A114,Race_2024_Seasonal!A:X,13,FALSE),0)</f>
        <v>0</v>
      </c>
      <c r="K114" s="610">
        <f>IFERROR(VLOOKUP($A114,Race_2024_Seasonal!A:X,14,FALSE),0)</f>
        <v>0</v>
      </c>
      <c r="L114" s="610">
        <f>IFERROR(VLOOKUP($A114,Race_2024_Seasonal!A:X,15,FALSE),0)</f>
        <v>0</v>
      </c>
      <c r="M114" s="610">
        <f>IFERROR(VLOOKUP($A114,Race_2024_Seasonal!A:X,16,FALSE),0)</f>
        <v>0</v>
      </c>
      <c r="N114" s="610">
        <f>IFERROR(VLOOKUP($A114,Race_2024_Seasonal!A:X,17,FALSE),0)</f>
        <v>0</v>
      </c>
      <c r="O114" s="610">
        <f>IFERROR(VLOOKUP($A114,Race_2024_Seasonal!A:X,18,FALSE),0)</f>
        <v>0</v>
      </c>
      <c r="P114" s="542"/>
      <c r="Q114" s="610">
        <f t="shared" si="1"/>
        <v>0</v>
      </c>
      <c r="R114" s="533"/>
      <c r="S114" s="659">
        <f>Q114-'P&amp;L'!I114</f>
        <v>0</v>
      </c>
    </row>
    <row r="115" spans="1:19" ht="15" x14ac:dyDescent="0.25">
      <c r="A115" s="534" t="s">
        <v>950</v>
      </c>
      <c r="B115" s="534" t="e">
        <f>IFERROR(VLOOKUP(A115,Race_2024_Seasonal!A:C,3,FALSE), VLOOKUP(A115,Race_2024_Seasonal!A:C,3,FALSE))</f>
        <v>#N/A</v>
      </c>
      <c r="C115" s="543" t="s">
        <v>951</v>
      </c>
      <c r="D115" s="613">
        <f>IFERROR(VLOOKUP($A115,Race_2024_Seasonal!A:X,7,FALSE),0)</f>
        <v>0</v>
      </c>
      <c r="E115" s="613">
        <f>IFERROR(VLOOKUP($A115,Race_2024_Seasonal!A:X,8,FALSE),0)</f>
        <v>0</v>
      </c>
      <c r="F115" s="613">
        <f>IFERROR(VLOOKUP($A115,Race_2024_Seasonal!A:X,9,FALSE),0)</f>
        <v>0</v>
      </c>
      <c r="G115" s="613">
        <f>IFERROR(VLOOKUP($A115,Race_2024_Seasonal!A:X,10,FALSE),0)</f>
        <v>0</v>
      </c>
      <c r="H115" s="613">
        <f>IFERROR(VLOOKUP($A115,Race_2024_Seasonal!A:X,11,FALSE),0)</f>
        <v>0</v>
      </c>
      <c r="I115" s="613">
        <f>IFERROR(VLOOKUP($A115,Race_2024_Seasonal!A:X,12,FALSE),0)</f>
        <v>0</v>
      </c>
      <c r="J115" s="613">
        <f>IFERROR(VLOOKUP($A115,Race_2024_Seasonal!A:X,13,FALSE),0)</f>
        <v>0</v>
      </c>
      <c r="K115" s="613">
        <f>IFERROR(VLOOKUP($A115,Race_2024_Seasonal!A:X,14,FALSE),0)</f>
        <v>0</v>
      </c>
      <c r="L115" s="613">
        <f>IFERROR(VLOOKUP($A115,Race_2024_Seasonal!A:X,15,FALSE),0)</f>
        <v>0</v>
      </c>
      <c r="M115" s="613">
        <f>IFERROR(VLOOKUP($A115,Race_2024_Seasonal!A:X,16,FALSE),0)</f>
        <v>0</v>
      </c>
      <c r="N115" s="613">
        <f>IFERROR(VLOOKUP($A115,Race_2024_Seasonal!A:X,17,FALSE),0)</f>
        <v>0</v>
      </c>
      <c r="O115" s="613">
        <f>IFERROR(VLOOKUP($A115,Race_2024_Seasonal!A:X,18,FALSE),0)</f>
        <v>0</v>
      </c>
      <c r="P115" s="542"/>
      <c r="Q115" s="613">
        <f t="shared" si="1"/>
        <v>0</v>
      </c>
      <c r="R115" s="533"/>
      <c r="S115" s="659">
        <f>Q115-'P&amp;L'!I115</f>
        <v>0</v>
      </c>
    </row>
    <row r="116" spans="1:19" ht="15" x14ac:dyDescent="0.25">
      <c r="A116" s="534" t="s">
        <v>952</v>
      </c>
      <c r="B116" s="534" t="e">
        <f>IFERROR(VLOOKUP(A116,Race_2024_Seasonal!A:C,3,FALSE), VLOOKUP(A116,Race_2024_Seasonal!A:C,3,FALSE))</f>
        <v>#N/A</v>
      </c>
      <c r="C116" s="544" t="s">
        <v>953</v>
      </c>
      <c r="D116" s="613">
        <f>IFERROR(VLOOKUP($A116,Race_2024_Seasonal!A:X,7,FALSE),0)</f>
        <v>0</v>
      </c>
      <c r="E116" s="613">
        <f>IFERROR(VLOOKUP($A116,Race_2024_Seasonal!A:X,8,FALSE),0)</f>
        <v>0</v>
      </c>
      <c r="F116" s="613">
        <f>IFERROR(VLOOKUP($A116,Race_2024_Seasonal!A:X,9,FALSE),0)</f>
        <v>0</v>
      </c>
      <c r="G116" s="613">
        <f>IFERROR(VLOOKUP($A116,Race_2024_Seasonal!A:X,10,FALSE),0)</f>
        <v>0</v>
      </c>
      <c r="H116" s="613">
        <f>IFERROR(VLOOKUP($A116,Race_2024_Seasonal!A:X,11,FALSE),0)</f>
        <v>0</v>
      </c>
      <c r="I116" s="613">
        <f>IFERROR(VLOOKUP($A116,Race_2024_Seasonal!A:X,12,FALSE),0)</f>
        <v>0</v>
      </c>
      <c r="J116" s="613">
        <f>IFERROR(VLOOKUP($A116,Race_2024_Seasonal!A:X,13,FALSE),0)</f>
        <v>0</v>
      </c>
      <c r="K116" s="613">
        <f>IFERROR(VLOOKUP($A116,Race_2024_Seasonal!A:X,14,FALSE),0)</f>
        <v>0</v>
      </c>
      <c r="L116" s="613">
        <f>IFERROR(VLOOKUP($A116,Race_2024_Seasonal!A:X,15,FALSE),0)</f>
        <v>0</v>
      </c>
      <c r="M116" s="613">
        <f>IFERROR(VLOOKUP($A116,Race_2024_Seasonal!A:X,16,FALSE),0)</f>
        <v>0</v>
      </c>
      <c r="N116" s="613">
        <f>IFERROR(VLOOKUP($A116,Race_2024_Seasonal!A:X,17,FALSE),0)</f>
        <v>0</v>
      </c>
      <c r="O116" s="613">
        <f>IFERROR(VLOOKUP($A116,Race_2024_Seasonal!A:X,18,FALSE),0)</f>
        <v>0</v>
      </c>
      <c r="P116" s="542"/>
      <c r="Q116" s="613">
        <f t="shared" si="1"/>
        <v>0</v>
      </c>
      <c r="R116" s="533"/>
      <c r="S116" s="659">
        <f>Q116-'P&amp;L'!I116</f>
        <v>0</v>
      </c>
    </row>
    <row r="117" spans="1:19" ht="15" x14ac:dyDescent="0.25">
      <c r="A117" s="534" t="s">
        <v>954</v>
      </c>
      <c r="B117" s="534" t="e">
        <f>IFERROR(VLOOKUP(A117,Race_2024_Seasonal!A:C,3,FALSE), VLOOKUP(A117,Race_2024_Seasonal!A:C,3,FALSE))</f>
        <v>#N/A</v>
      </c>
      <c r="C117" s="543" t="s">
        <v>955</v>
      </c>
      <c r="D117" s="610">
        <f>IFERROR(VLOOKUP($A117,Race_2024_Seasonal!A:X,7,FALSE),0)</f>
        <v>0</v>
      </c>
      <c r="E117" s="610">
        <f>IFERROR(VLOOKUP($A117,Race_2024_Seasonal!A:X,8,FALSE),0)</f>
        <v>0</v>
      </c>
      <c r="F117" s="610">
        <f>IFERROR(VLOOKUP($A117,Race_2024_Seasonal!A:X,9,FALSE),0)</f>
        <v>0</v>
      </c>
      <c r="G117" s="610">
        <f>IFERROR(VLOOKUP($A117,Race_2024_Seasonal!A:X,10,FALSE),0)</f>
        <v>0</v>
      </c>
      <c r="H117" s="610">
        <f>IFERROR(VLOOKUP($A117,Race_2024_Seasonal!A:X,11,FALSE),0)</f>
        <v>0</v>
      </c>
      <c r="I117" s="610">
        <f>IFERROR(VLOOKUP($A117,Race_2024_Seasonal!A:X,12,FALSE),0)</f>
        <v>0</v>
      </c>
      <c r="J117" s="610">
        <f>IFERROR(VLOOKUP($A117,Race_2024_Seasonal!A:X,13,FALSE),0)</f>
        <v>0</v>
      </c>
      <c r="K117" s="610">
        <f>IFERROR(VLOOKUP($A117,Race_2024_Seasonal!A:X,14,FALSE),0)</f>
        <v>0</v>
      </c>
      <c r="L117" s="610">
        <f>IFERROR(VLOOKUP($A117,Race_2024_Seasonal!A:X,15,FALSE),0)</f>
        <v>0</v>
      </c>
      <c r="M117" s="610">
        <f>IFERROR(VLOOKUP($A117,Race_2024_Seasonal!A:X,16,FALSE),0)</f>
        <v>0</v>
      </c>
      <c r="N117" s="610">
        <f>IFERROR(VLOOKUP($A117,Race_2024_Seasonal!A:X,17,FALSE),0)</f>
        <v>0</v>
      </c>
      <c r="O117" s="610">
        <f>IFERROR(VLOOKUP($A117,Race_2024_Seasonal!A:X,18,FALSE),0)</f>
        <v>0</v>
      </c>
      <c r="P117" s="542"/>
      <c r="Q117" s="610">
        <f t="shared" si="1"/>
        <v>0</v>
      </c>
      <c r="R117" s="533"/>
      <c r="S117" s="659">
        <f>Q117-'P&amp;L'!I117</f>
        <v>0</v>
      </c>
    </row>
    <row r="118" spans="1:19" ht="15" x14ac:dyDescent="0.25">
      <c r="A118" s="534" t="s">
        <v>956</v>
      </c>
      <c r="B118" s="534" t="e">
        <f>IFERROR(VLOOKUP(A118,Race_2024_Seasonal!A:C,3,FALSE), VLOOKUP(A118,Race_2024_Seasonal!A:C,3,FALSE))</f>
        <v>#N/A</v>
      </c>
      <c r="C118" s="543" t="s">
        <v>957</v>
      </c>
      <c r="D118" s="610">
        <f>IFERROR(VLOOKUP($A118,Race_2024_Seasonal!A:X,7,FALSE),0)</f>
        <v>0</v>
      </c>
      <c r="E118" s="610">
        <f>IFERROR(VLOOKUP($A118,Race_2024_Seasonal!A:X,8,FALSE),0)</f>
        <v>0</v>
      </c>
      <c r="F118" s="610">
        <f>IFERROR(VLOOKUP($A118,Race_2024_Seasonal!A:X,9,FALSE),0)</f>
        <v>0</v>
      </c>
      <c r="G118" s="610">
        <f>IFERROR(VLOOKUP($A118,Race_2024_Seasonal!A:X,10,FALSE),0)</f>
        <v>0</v>
      </c>
      <c r="H118" s="610">
        <f>IFERROR(VLOOKUP($A118,Race_2024_Seasonal!A:X,11,FALSE),0)</f>
        <v>0</v>
      </c>
      <c r="I118" s="610">
        <f>IFERROR(VLOOKUP($A118,Race_2024_Seasonal!A:X,12,FALSE),0)</f>
        <v>0</v>
      </c>
      <c r="J118" s="610">
        <f>IFERROR(VLOOKUP($A118,Race_2024_Seasonal!A:X,13,FALSE),0)</f>
        <v>0</v>
      </c>
      <c r="K118" s="610">
        <f>IFERROR(VLOOKUP($A118,Race_2024_Seasonal!A:X,14,FALSE),0)</f>
        <v>0</v>
      </c>
      <c r="L118" s="610">
        <f>IFERROR(VLOOKUP($A118,Race_2024_Seasonal!A:X,15,FALSE),0)</f>
        <v>0</v>
      </c>
      <c r="M118" s="610">
        <f>IFERROR(VLOOKUP($A118,Race_2024_Seasonal!A:X,16,FALSE),0)</f>
        <v>0</v>
      </c>
      <c r="N118" s="610">
        <f>IFERROR(VLOOKUP($A118,Race_2024_Seasonal!A:X,17,FALSE),0)</f>
        <v>0</v>
      </c>
      <c r="O118" s="610">
        <f>IFERROR(VLOOKUP($A118,Race_2024_Seasonal!A:X,18,FALSE),0)</f>
        <v>0</v>
      </c>
      <c r="P118" s="542"/>
      <c r="Q118" s="610">
        <f t="shared" si="1"/>
        <v>0</v>
      </c>
      <c r="R118" s="533"/>
      <c r="S118" s="659">
        <f>Q118-'P&amp;L'!I118</f>
        <v>0</v>
      </c>
    </row>
    <row r="119" spans="1:19" ht="15" x14ac:dyDescent="0.25">
      <c r="A119" s="534" t="s">
        <v>958</v>
      </c>
      <c r="B119" s="534" t="e">
        <f>IFERROR(VLOOKUP(A119,Race_2024_Seasonal!A:C,3,FALSE), VLOOKUP(A119,Race_2024_Seasonal!A:C,3,FALSE))</f>
        <v>#N/A</v>
      </c>
      <c r="C119" s="541" t="s">
        <v>959</v>
      </c>
      <c r="D119" s="610">
        <f>IFERROR(VLOOKUP($A119,Race_2024_Seasonal!A:X,7,FALSE),0)</f>
        <v>0</v>
      </c>
      <c r="E119" s="610">
        <f>IFERROR(VLOOKUP($A119,Race_2024_Seasonal!A:X,8,FALSE),0)</f>
        <v>0</v>
      </c>
      <c r="F119" s="610">
        <f>IFERROR(VLOOKUP($A119,Race_2024_Seasonal!A:X,9,FALSE),0)</f>
        <v>0</v>
      </c>
      <c r="G119" s="610">
        <f>IFERROR(VLOOKUP($A119,Race_2024_Seasonal!A:X,10,FALSE),0)</f>
        <v>0</v>
      </c>
      <c r="H119" s="610">
        <f>IFERROR(VLOOKUP($A119,Race_2024_Seasonal!A:X,11,FALSE),0)</f>
        <v>0</v>
      </c>
      <c r="I119" s="610">
        <f>IFERROR(VLOOKUP($A119,Race_2024_Seasonal!A:X,12,FALSE),0)</f>
        <v>0</v>
      </c>
      <c r="J119" s="610">
        <f>IFERROR(VLOOKUP($A119,Race_2024_Seasonal!A:X,13,FALSE),0)</f>
        <v>0</v>
      </c>
      <c r="K119" s="610">
        <f>IFERROR(VLOOKUP($A119,Race_2024_Seasonal!A:X,14,FALSE),0)</f>
        <v>0</v>
      </c>
      <c r="L119" s="610">
        <f>IFERROR(VLOOKUP($A119,Race_2024_Seasonal!A:X,15,FALSE),0)</f>
        <v>0</v>
      </c>
      <c r="M119" s="610">
        <f>IFERROR(VLOOKUP($A119,Race_2024_Seasonal!A:X,16,FALSE),0)</f>
        <v>0</v>
      </c>
      <c r="N119" s="610">
        <f>IFERROR(VLOOKUP($A119,Race_2024_Seasonal!A:X,17,FALSE),0)</f>
        <v>0</v>
      </c>
      <c r="O119" s="610">
        <f>IFERROR(VLOOKUP($A119,Race_2024_Seasonal!A:X,18,FALSE),0)</f>
        <v>0</v>
      </c>
      <c r="P119" s="542"/>
      <c r="Q119" s="610">
        <f t="shared" si="1"/>
        <v>0</v>
      </c>
      <c r="R119" s="533"/>
      <c r="S119" s="659">
        <f>Q119-'P&amp;L'!I119</f>
        <v>0</v>
      </c>
    </row>
    <row r="120" spans="1:19" ht="15" x14ac:dyDescent="0.25">
      <c r="A120" s="534" t="s">
        <v>960</v>
      </c>
      <c r="B120" s="534" t="e">
        <f>IFERROR(VLOOKUP(A120,Race_2024_Seasonal!A:C,3,FALSE), VLOOKUP(A120,Race_2024_Seasonal!A:C,3,FALSE))</f>
        <v>#N/A</v>
      </c>
      <c r="C120" s="537" t="s">
        <v>961</v>
      </c>
      <c r="D120" s="610">
        <f>IFERROR(VLOOKUP($A120,Race_2024_Seasonal!A:X,7,FALSE),0)</f>
        <v>0</v>
      </c>
      <c r="E120" s="610">
        <f>IFERROR(VLOOKUP($A120,Race_2024_Seasonal!A:X,8,FALSE),0)</f>
        <v>0</v>
      </c>
      <c r="F120" s="610">
        <f>IFERROR(VLOOKUP($A120,Race_2024_Seasonal!A:X,9,FALSE),0)</f>
        <v>0</v>
      </c>
      <c r="G120" s="610">
        <f>IFERROR(VLOOKUP($A120,Race_2024_Seasonal!A:X,10,FALSE),0)</f>
        <v>0</v>
      </c>
      <c r="H120" s="610">
        <f>IFERROR(VLOOKUP($A120,Race_2024_Seasonal!A:X,11,FALSE),0)</f>
        <v>0</v>
      </c>
      <c r="I120" s="610">
        <f>IFERROR(VLOOKUP($A120,Race_2024_Seasonal!A:X,12,FALSE),0)</f>
        <v>0</v>
      </c>
      <c r="J120" s="610">
        <f>IFERROR(VLOOKUP($A120,Race_2024_Seasonal!A:X,13,FALSE),0)</f>
        <v>0</v>
      </c>
      <c r="K120" s="610">
        <f>IFERROR(VLOOKUP($A120,Race_2024_Seasonal!A:X,14,FALSE),0)</f>
        <v>0</v>
      </c>
      <c r="L120" s="610">
        <f>IFERROR(VLOOKUP($A120,Race_2024_Seasonal!A:X,15,FALSE),0)</f>
        <v>0</v>
      </c>
      <c r="M120" s="610">
        <f>IFERROR(VLOOKUP($A120,Race_2024_Seasonal!A:X,16,FALSE),0)</f>
        <v>0</v>
      </c>
      <c r="N120" s="610">
        <f>IFERROR(VLOOKUP($A120,Race_2024_Seasonal!A:X,17,FALSE),0)</f>
        <v>0</v>
      </c>
      <c r="O120" s="610">
        <f>IFERROR(VLOOKUP($A120,Race_2024_Seasonal!A:X,18,FALSE),0)</f>
        <v>0</v>
      </c>
      <c r="P120" s="533"/>
      <c r="Q120" s="610">
        <f t="shared" si="1"/>
        <v>0</v>
      </c>
      <c r="R120" s="533"/>
      <c r="S120" s="659">
        <f>Q120-'P&amp;L'!I120</f>
        <v>0</v>
      </c>
    </row>
    <row r="121" spans="1:19" ht="15" x14ac:dyDescent="0.25">
      <c r="A121" s="534" t="s">
        <v>962</v>
      </c>
      <c r="B121" s="534" t="e">
        <f>IFERROR(VLOOKUP(A121,Race_2024_Seasonal!A:C,3,FALSE), VLOOKUP(A121,Race_2024_Seasonal!A:C,3,FALSE))</f>
        <v>#N/A</v>
      </c>
      <c r="C121" s="537" t="s">
        <v>963</v>
      </c>
      <c r="D121" s="613">
        <f>IFERROR(VLOOKUP($A121,Race_2024_Seasonal!A:X,7,FALSE),0)</f>
        <v>0</v>
      </c>
      <c r="E121" s="613">
        <f>IFERROR(VLOOKUP($A121,Race_2024_Seasonal!A:X,8,FALSE),0)</f>
        <v>0</v>
      </c>
      <c r="F121" s="613">
        <f>IFERROR(VLOOKUP($A121,Race_2024_Seasonal!A:X,9,FALSE),0)</f>
        <v>0</v>
      </c>
      <c r="G121" s="613">
        <f>IFERROR(VLOOKUP($A121,Race_2024_Seasonal!A:X,10,FALSE),0)</f>
        <v>0</v>
      </c>
      <c r="H121" s="613">
        <f>IFERROR(VLOOKUP($A121,Race_2024_Seasonal!A:X,11,FALSE),0)</f>
        <v>0</v>
      </c>
      <c r="I121" s="613">
        <f>IFERROR(VLOOKUP($A121,Race_2024_Seasonal!A:X,12,FALSE),0)</f>
        <v>0</v>
      </c>
      <c r="J121" s="613">
        <f>IFERROR(VLOOKUP($A121,Race_2024_Seasonal!A:X,13,FALSE),0)</f>
        <v>0</v>
      </c>
      <c r="K121" s="613">
        <f>IFERROR(VLOOKUP($A121,Race_2024_Seasonal!A:X,14,FALSE),0)</f>
        <v>0</v>
      </c>
      <c r="L121" s="613">
        <f>IFERROR(VLOOKUP($A121,Race_2024_Seasonal!A:X,15,FALSE),0)</f>
        <v>0</v>
      </c>
      <c r="M121" s="613">
        <f>IFERROR(VLOOKUP($A121,Race_2024_Seasonal!A:X,16,FALSE),0)</f>
        <v>0</v>
      </c>
      <c r="N121" s="613">
        <f>IFERROR(VLOOKUP($A121,Race_2024_Seasonal!A:X,17,FALSE),0)</f>
        <v>0</v>
      </c>
      <c r="O121" s="613">
        <f>IFERROR(VLOOKUP($A121,Race_2024_Seasonal!A:X,18,FALSE),0)</f>
        <v>0</v>
      </c>
      <c r="P121" s="542"/>
      <c r="Q121" s="613">
        <f t="shared" si="1"/>
        <v>0</v>
      </c>
      <c r="R121" s="533"/>
      <c r="S121" s="659">
        <f>Q121-'P&amp;L'!I121</f>
        <v>0</v>
      </c>
    </row>
    <row r="122" spans="1:19" ht="15" x14ac:dyDescent="0.25">
      <c r="A122" s="534" t="s">
        <v>964</v>
      </c>
      <c r="B122" s="534" t="e">
        <f>IFERROR(VLOOKUP(A122,Race_2024_Seasonal!A:C,3,FALSE), VLOOKUP(A122,Race_2024_Seasonal!A:C,3,FALSE))</f>
        <v>#N/A</v>
      </c>
      <c r="C122" s="537" t="s">
        <v>965</v>
      </c>
      <c r="D122" s="613">
        <f>IFERROR(VLOOKUP($A122,Race_2024_Seasonal!A:X,7,FALSE),0)</f>
        <v>0</v>
      </c>
      <c r="E122" s="613">
        <f>IFERROR(VLOOKUP($A122,Race_2024_Seasonal!A:X,8,FALSE),0)</f>
        <v>0</v>
      </c>
      <c r="F122" s="613">
        <f>IFERROR(VLOOKUP($A122,Race_2024_Seasonal!A:X,9,FALSE),0)</f>
        <v>0</v>
      </c>
      <c r="G122" s="613">
        <f>IFERROR(VLOOKUP($A122,Race_2024_Seasonal!A:X,10,FALSE),0)</f>
        <v>0</v>
      </c>
      <c r="H122" s="613">
        <f>IFERROR(VLOOKUP($A122,Race_2024_Seasonal!A:X,11,FALSE),0)</f>
        <v>0</v>
      </c>
      <c r="I122" s="613">
        <f>IFERROR(VLOOKUP($A122,Race_2024_Seasonal!A:X,12,FALSE),0)</f>
        <v>0</v>
      </c>
      <c r="J122" s="613">
        <f>IFERROR(VLOOKUP($A122,Race_2024_Seasonal!A:X,13,FALSE),0)</f>
        <v>0</v>
      </c>
      <c r="K122" s="613">
        <f>IFERROR(VLOOKUP($A122,Race_2024_Seasonal!A:X,14,FALSE),0)</f>
        <v>0</v>
      </c>
      <c r="L122" s="613">
        <f>IFERROR(VLOOKUP($A122,Race_2024_Seasonal!A:X,15,FALSE),0)</f>
        <v>0</v>
      </c>
      <c r="M122" s="613">
        <f>IFERROR(VLOOKUP($A122,Race_2024_Seasonal!A:X,16,FALSE),0)</f>
        <v>0</v>
      </c>
      <c r="N122" s="613">
        <f>IFERROR(VLOOKUP($A122,Race_2024_Seasonal!A:X,17,FALSE),0)</f>
        <v>0</v>
      </c>
      <c r="O122" s="613">
        <f>IFERROR(VLOOKUP($A122,Race_2024_Seasonal!A:X,18,FALSE),0)</f>
        <v>0</v>
      </c>
      <c r="P122" s="542"/>
      <c r="Q122" s="613">
        <f t="shared" si="1"/>
        <v>0</v>
      </c>
      <c r="R122" s="533"/>
      <c r="S122" s="659">
        <f>Q122-'P&amp;L'!I122</f>
        <v>0</v>
      </c>
    </row>
    <row r="123" spans="1:19" ht="15" x14ac:dyDescent="0.25">
      <c r="A123" s="534" t="s">
        <v>966</v>
      </c>
      <c r="B123" s="534" t="e">
        <f>IFERROR(VLOOKUP(A123,Race_2024_Seasonal!A:C,3,FALSE), VLOOKUP(A123,Race_2024_Seasonal!A:C,3,FALSE))</f>
        <v>#N/A</v>
      </c>
      <c r="C123" s="537" t="s">
        <v>967</v>
      </c>
      <c r="D123" s="613">
        <f>IFERROR(VLOOKUP($A123,Race_2024_Seasonal!A:X,7,FALSE),0)</f>
        <v>0</v>
      </c>
      <c r="E123" s="613">
        <f>IFERROR(VLOOKUP($A123,Race_2024_Seasonal!A:X,8,FALSE),0)</f>
        <v>0</v>
      </c>
      <c r="F123" s="613">
        <f>IFERROR(VLOOKUP($A123,Race_2024_Seasonal!A:X,9,FALSE),0)</f>
        <v>0</v>
      </c>
      <c r="G123" s="613">
        <f>IFERROR(VLOOKUP($A123,Race_2024_Seasonal!A:X,10,FALSE),0)</f>
        <v>0</v>
      </c>
      <c r="H123" s="613">
        <f>IFERROR(VLOOKUP($A123,Race_2024_Seasonal!A:X,11,FALSE),0)</f>
        <v>0</v>
      </c>
      <c r="I123" s="613">
        <f>IFERROR(VLOOKUP($A123,Race_2024_Seasonal!A:X,12,FALSE),0)</f>
        <v>0</v>
      </c>
      <c r="J123" s="613">
        <f>IFERROR(VLOOKUP($A123,Race_2024_Seasonal!A:X,13,FALSE),0)</f>
        <v>0</v>
      </c>
      <c r="K123" s="613">
        <f>IFERROR(VLOOKUP($A123,Race_2024_Seasonal!A:X,14,FALSE),0)</f>
        <v>0</v>
      </c>
      <c r="L123" s="613">
        <f>IFERROR(VLOOKUP($A123,Race_2024_Seasonal!A:X,15,FALSE),0)</f>
        <v>0</v>
      </c>
      <c r="M123" s="613">
        <f>IFERROR(VLOOKUP($A123,Race_2024_Seasonal!A:X,16,FALSE),0)</f>
        <v>0</v>
      </c>
      <c r="N123" s="613">
        <f>IFERROR(VLOOKUP($A123,Race_2024_Seasonal!A:X,17,FALSE),0)</f>
        <v>0</v>
      </c>
      <c r="O123" s="613">
        <f>IFERROR(VLOOKUP($A123,Race_2024_Seasonal!A:X,18,FALSE),0)</f>
        <v>0</v>
      </c>
      <c r="P123" s="542"/>
      <c r="Q123" s="613">
        <f t="shared" si="1"/>
        <v>0</v>
      </c>
      <c r="R123" s="533"/>
      <c r="S123" s="659">
        <f>Q123-'P&amp;L'!I123</f>
        <v>0</v>
      </c>
    </row>
    <row r="124" spans="1:19" ht="15" x14ac:dyDescent="0.25">
      <c r="A124" s="534" t="s">
        <v>968</v>
      </c>
      <c r="B124" s="534" t="e">
        <f>IFERROR(VLOOKUP(A124,Race_2024_Seasonal!A:C,3,FALSE), VLOOKUP(A124,Race_2024_Seasonal!A:C,3,FALSE))</f>
        <v>#N/A</v>
      </c>
      <c r="C124" s="537" t="s">
        <v>969</v>
      </c>
      <c r="D124" s="613">
        <f>IFERROR(VLOOKUP($A124,Race_2024_Seasonal!A:X,7,FALSE),0)</f>
        <v>0</v>
      </c>
      <c r="E124" s="613">
        <f>IFERROR(VLOOKUP($A124,Race_2024_Seasonal!A:X,8,FALSE),0)</f>
        <v>0</v>
      </c>
      <c r="F124" s="613">
        <f>IFERROR(VLOOKUP($A124,Race_2024_Seasonal!A:X,9,FALSE),0)</f>
        <v>0</v>
      </c>
      <c r="G124" s="613">
        <f>IFERROR(VLOOKUP($A124,Race_2024_Seasonal!A:X,10,FALSE),0)</f>
        <v>0</v>
      </c>
      <c r="H124" s="613">
        <f>IFERROR(VLOOKUP($A124,Race_2024_Seasonal!A:X,11,FALSE),0)</f>
        <v>0</v>
      </c>
      <c r="I124" s="613">
        <f>IFERROR(VLOOKUP($A124,Race_2024_Seasonal!A:X,12,FALSE),0)</f>
        <v>0</v>
      </c>
      <c r="J124" s="613">
        <f>IFERROR(VLOOKUP($A124,Race_2024_Seasonal!A:X,13,FALSE),0)</f>
        <v>0</v>
      </c>
      <c r="K124" s="613">
        <f>IFERROR(VLOOKUP($A124,Race_2024_Seasonal!A:X,14,FALSE),0)</f>
        <v>0</v>
      </c>
      <c r="L124" s="613">
        <f>IFERROR(VLOOKUP($A124,Race_2024_Seasonal!A:X,15,FALSE),0)</f>
        <v>0</v>
      </c>
      <c r="M124" s="613">
        <f>IFERROR(VLOOKUP($A124,Race_2024_Seasonal!A:X,16,FALSE),0)</f>
        <v>0</v>
      </c>
      <c r="N124" s="613">
        <f>IFERROR(VLOOKUP($A124,Race_2024_Seasonal!A:X,17,FALSE),0)</f>
        <v>0</v>
      </c>
      <c r="O124" s="613">
        <f>IFERROR(VLOOKUP($A124,Race_2024_Seasonal!A:X,18,FALSE),0)</f>
        <v>0</v>
      </c>
      <c r="P124" s="542"/>
      <c r="Q124" s="613">
        <f t="shared" si="1"/>
        <v>0</v>
      </c>
      <c r="R124" s="533"/>
      <c r="S124" s="659">
        <f>Q124-'P&amp;L'!I124</f>
        <v>0</v>
      </c>
    </row>
    <row r="125" spans="1:19" ht="15" x14ac:dyDescent="0.25">
      <c r="A125" s="534" t="s">
        <v>970</v>
      </c>
      <c r="B125" s="534" t="e">
        <f>IFERROR(VLOOKUP(A125,Race_2024_Seasonal!A:C,3,FALSE), VLOOKUP(A125,Race_2024_Seasonal!A:C,3,FALSE))</f>
        <v>#N/A</v>
      </c>
      <c r="C125" s="537" t="s">
        <v>971</v>
      </c>
      <c r="D125" s="613">
        <f>IFERROR(VLOOKUP($A125,Race_2024_Seasonal!A:X,7,FALSE),0)</f>
        <v>0</v>
      </c>
      <c r="E125" s="613">
        <f>IFERROR(VLOOKUP($A125,Race_2024_Seasonal!A:X,8,FALSE),0)</f>
        <v>0</v>
      </c>
      <c r="F125" s="613">
        <f>IFERROR(VLOOKUP($A125,Race_2024_Seasonal!A:X,9,FALSE),0)</f>
        <v>0</v>
      </c>
      <c r="G125" s="613">
        <f>IFERROR(VLOOKUP($A125,Race_2024_Seasonal!A:X,10,FALSE),0)</f>
        <v>0</v>
      </c>
      <c r="H125" s="613">
        <f>IFERROR(VLOOKUP($A125,Race_2024_Seasonal!A:X,11,FALSE),0)</f>
        <v>0</v>
      </c>
      <c r="I125" s="613">
        <f>IFERROR(VLOOKUP($A125,Race_2024_Seasonal!A:X,12,FALSE),0)</f>
        <v>0</v>
      </c>
      <c r="J125" s="613">
        <f>IFERROR(VLOOKUP($A125,Race_2024_Seasonal!A:X,13,FALSE),0)</f>
        <v>0</v>
      </c>
      <c r="K125" s="613">
        <f>IFERROR(VLOOKUP($A125,Race_2024_Seasonal!A:X,14,FALSE),0)</f>
        <v>0</v>
      </c>
      <c r="L125" s="613">
        <f>IFERROR(VLOOKUP($A125,Race_2024_Seasonal!A:X,15,FALSE),0)</f>
        <v>0</v>
      </c>
      <c r="M125" s="613">
        <f>IFERROR(VLOOKUP($A125,Race_2024_Seasonal!A:X,16,FALSE),0)</f>
        <v>0</v>
      </c>
      <c r="N125" s="613">
        <f>IFERROR(VLOOKUP($A125,Race_2024_Seasonal!A:X,17,FALSE),0)</f>
        <v>0</v>
      </c>
      <c r="O125" s="613">
        <f>IFERROR(VLOOKUP($A125,Race_2024_Seasonal!A:X,18,FALSE),0)</f>
        <v>0</v>
      </c>
      <c r="P125" s="542"/>
      <c r="Q125" s="613">
        <f t="shared" si="1"/>
        <v>0</v>
      </c>
      <c r="R125" s="533"/>
      <c r="S125" s="659">
        <f>Q125-'P&amp;L'!I125</f>
        <v>0</v>
      </c>
    </row>
    <row r="126" spans="1:19" ht="15" x14ac:dyDescent="0.25">
      <c r="A126" s="534" t="s">
        <v>972</v>
      </c>
      <c r="B126" s="534" t="e">
        <f>IFERROR(VLOOKUP(A126,Race_2024_Seasonal!A:C,3,FALSE), VLOOKUP(A126,Race_2024_Seasonal!A:C,3,FALSE))</f>
        <v>#N/A</v>
      </c>
      <c r="C126" s="541" t="s">
        <v>973</v>
      </c>
      <c r="D126" s="613">
        <f>IFERROR(VLOOKUP($A126,Race_2024_Seasonal!A:X,7,FALSE),0)</f>
        <v>0</v>
      </c>
      <c r="E126" s="613">
        <f>IFERROR(VLOOKUP($A126,Race_2024_Seasonal!A:X,8,FALSE),0)</f>
        <v>0</v>
      </c>
      <c r="F126" s="613">
        <f>IFERROR(VLOOKUP($A126,Race_2024_Seasonal!A:X,9,FALSE),0)</f>
        <v>0</v>
      </c>
      <c r="G126" s="613">
        <f>IFERROR(VLOOKUP($A126,Race_2024_Seasonal!A:X,10,FALSE),0)</f>
        <v>0</v>
      </c>
      <c r="H126" s="613">
        <f>IFERROR(VLOOKUP($A126,Race_2024_Seasonal!A:X,11,FALSE),0)</f>
        <v>0</v>
      </c>
      <c r="I126" s="613">
        <f>IFERROR(VLOOKUP($A126,Race_2024_Seasonal!A:X,12,FALSE),0)</f>
        <v>0</v>
      </c>
      <c r="J126" s="613">
        <f>IFERROR(VLOOKUP($A126,Race_2024_Seasonal!A:X,13,FALSE),0)</f>
        <v>0</v>
      </c>
      <c r="K126" s="613">
        <f>IFERROR(VLOOKUP($A126,Race_2024_Seasonal!A:X,14,FALSE),0)</f>
        <v>0</v>
      </c>
      <c r="L126" s="613">
        <f>IFERROR(VLOOKUP($A126,Race_2024_Seasonal!A:X,15,FALSE),0)</f>
        <v>0</v>
      </c>
      <c r="M126" s="613">
        <f>IFERROR(VLOOKUP($A126,Race_2024_Seasonal!A:X,16,FALSE),0)</f>
        <v>0</v>
      </c>
      <c r="N126" s="613">
        <f>IFERROR(VLOOKUP($A126,Race_2024_Seasonal!A:X,17,FALSE),0)</f>
        <v>0</v>
      </c>
      <c r="O126" s="613">
        <f>IFERROR(VLOOKUP($A126,Race_2024_Seasonal!A:X,18,FALSE),0)</f>
        <v>0</v>
      </c>
      <c r="P126" s="542"/>
      <c r="Q126" s="613">
        <f t="shared" si="1"/>
        <v>0</v>
      </c>
      <c r="R126" s="533"/>
      <c r="S126" s="659">
        <f>Q126-'P&amp;L'!I126</f>
        <v>0</v>
      </c>
    </row>
    <row r="127" spans="1:19" ht="15" x14ac:dyDescent="0.25">
      <c r="A127" s="534" t="s">
        <v>974</v>
      </c>
      <c r="B127" s="534" t="e">
        <f>IFERROR(VLOOKUP(A127,Race_2024_Seasonal!A:C,3,FALSE), VLOOKUP(A127,Race_2024_Seasonal!A:C,3,FALSE))</f>
        <v>#N/A</v>
      </c>
      <c r="C127" s="541" t="s">
        <v>975</v>
      </c>
      <c r="D127" s="613">
        <f>IFERROR(VLOOKUP($A127,Race_2024_Seasonal!A:X,7,FALSE),0)</f>
        <v>0</v>
      </c>
      <c r="E127" s="613">
        <f>IFERROR(VLOOKUP($A127,Race_2024_Seasonal!A:X,8,FALSE),0)</f>
        <v>0</v>
      </c>
      <c r="F127" s="613">
        <f>IFERROR(VLOOKUP($A127,Race_2024_Seasonal!A:X,9,FALSE),0)</f>
        <v>0</v>
      </c>
      <c r="G127" s="613">
        <f>IFERROR(VLOOKUP($A127,Race_2024_Seasonal!A:X,10,FALSE),0)</f>
        <v>0</v>
      </c>
      <c r="H127" s="613">
        <f>IFERROR(VLOOKUP($A127,Race_2024_Seasonal!A:X,11,FALSE),0)</f>
        <v>0</v>
      </c>
      <c r="I127" s="613">
        <f>IFERROR(VLOOKUP($A127,Race_2024_Seasonal!A:X,12,FALSE),0)</f>
        <v>0</v>
      </c>
      <c r="J127" s="613">
        <f>IFERROR(VLOOKUP($A127,Race_2024_Seasonal!A:X,13,FALSE),0)</f>
        <v>0</v>
      </c>
      <c r="K127" s="613">
        <f>IFERROR(VLOOKUP($A127,Race_2024_Seasonal!A:X,14,FALSE),0)</f>
        <v>0</v>
      </c>
      <c r="L127" s="613">
        <f>IFERROR(VLOOKUP($A127,Race_2024_Seasonal!A:X,15,FALSE),0)</f>
        <v>0</v>
      </c>
      <c r="M127" s="613">
        <f>IFERROR(VLOOKUP($A127,Race_2024_Seasonal!A:X,16,FALSE),0)</f>
        <v>0</v>
      </c>
      <c r="N127" s="613">
        <f>IFERROR(VLOOKUP($A127,Race_2024_Seasonal!A:X,17,FALSE),0)</f>
        <v>0</v>
      </c>
      <c r="O127" s="613">
        <f>IFERROR(VLOOKUP($A127,Race_2024_Seasonal!A:X,18,FALSE),0)</f>
        <v>0</v>
      </c>
      <c r="P127" s="542"/>
      <c r="Q127" s="613">
        <f t="shared" si="1"/>
        <v>0</v>
      </c>
      <c r="R127" s="533"/>
      <c r="S127" s="659">
        <f>Q127-'P&amp;L'!I127</f>
        <v>0</v>
      </c>
    </row>
    <row r="128" spans="1:19" ht="15" x14ac:dyDescent="0.25">
      <c r="A128" s="534" t="s">
        <v>976</v>
      </c>
      <c r="B128" s="534" t="e">
        <f>IFERROR(VLOOKUP(A128,Race_2024_Seasonal!A:C,3,FALSE), VLOOKUP(A128,Race_2024_Seasonal!A:C,3,FALSE))</f>
        <v>#N/A</v>
      </c>
      <c r="C128" s="541" t="s">
        <v>977</v>
      </c>
      <c r="D128" s="610">
        <f>IFERROR(VLOOKUP($A128,Race_2024_Seasonal!A:X,7,FALSE),0)</f>
        <v>0</v>
      </c>
      <c r="E128" s="610">
        <f>IFERROR(VLOOKUP($A128,Race_2024_Seasonal!A:X,8,FALSE),0)</f>
        <v>0</v>
      </c>
      <c r="F128" s="610">
        <f>IFERROR(VLOOKUP($A128,Race_2024_Seasonal!A:X,9,FALSE),0)</f>
        <v>0</v>
      </c>
      <c r="G128" s="610">
        <f>IFERROR(VLOOKUP($A128,Race_2024_Seasonal!A:X,10,FALSE),0)</f>
        <v>0</v>
      </c>
      <c r="H128" s="610">
        <f>IFERROR(VLOOKUP($A128,Race_2024_Seasonal!A:X,11,FALSE),0)</f>
        <v>0</v>
      </c>
      <c r="I128" s="610">
        <f>IFERROR(VLOOKUP($A128,Race_2024_Seasonal!A:X,12,FALSE),0)</f>
        <v>0</v>
      </c>
      <c r="J128" s="610">
        <f>IFERROR(VLOOKUP($A128,Race_2024_Seasonal!A:X,13,FALSE),0)</f>
        <v>0</v>
      </c>
      <c r="K128" s="610">
        <f>IFERROR(VLOOKUP($A128,Race_2024_Seasonal!A:X,14,FALSE),0)</f>
        <v>0</v>
      </c>
      <c r="L128" s="610">
        <f>IFERROR(VLOOKUP($A128,Race_2024_Seasonal!A:X,15,FALSE),0)</f>
        <v>0</v>
      </c>
      <c r="M128" s="610">
        <f>IFERROR(VLOOKUP($A128,Race_2024_Seasonal!A:X,16,FALSE),0)</f>
        <v>0</v>
      </c>
      <c r="N128" s="610">
        <f>IFERROR(VLOOKUP($A128,Race_2024_Seasonal!A:X,17,FALSE),0)</f>
        <v>0</v>
      </c>
      <c r="O128" s="610">
        <f>IFERROR(VLOOKUP($A128,Race_2024_Seasonal!A:X,18,FALSE),0)</f>
        <v>0</v>
      </c>
      <c r="P128" s="542"/>
      <c r="Q128" s="610">
        <f t="shared" si="1"/>
        <v>0</v>
      </c>
      <c r="R128" s="533"/>
      <c r="S128" s="659">
        <f>Q128-'P&amp;L'!I128</f>
        <v>0</v>
      </c>
    </row>
    <row r="129" spans="1:19" ht="15" x14ac:dyDescent="0.25">
      <c r="A129" s="534" t="s">
        <v>978</v>
      </c>
      <c r="B129" s="534" t="e">
        <f>IFERROR(VLOOKUP(A129,Race_2024_Seasonal!A:C,3,FALSE), VLOOKUP(A129,Race_2024_Seasonal!A:C,3,FALSE))</f>
        <v>#N/A</v>
      </c>
      <c r="C129" s="541" t="s">
        <v>979</v>
      </c>
      <c r="D129" s="610">
        <f>IFERROR(VLOOKUP($A129,Race_2024_Seasonal!A:X,7,FALSE),0)</f>
        <v>0</v>
      </c>
      <c r="E129" s="610">
        <f>IFERROR(VLOOKUP($A129,Race_2024_Seasonal!A:X,8,FALSE),0)</f>
        <v>0</v>
      </c>
      <c r="F129" s="610">
        <f>IFERROR(VLOOKUP($A129,Race_2024_Seasonal!A:X,9,FALSE),0)</f>
        <v>0</v>
      </c>
      <c r="G129" s="610">
        <f>IFERROR(VLOOKUP($A129,Race_2024_Seasonal!A:X,10,FALSE),0)</f>
        <v>0</v>
      </c>
      <c r="H129" s="610">
        <f>IFERROR(VLOOKUP($A129,Race_2024_Seasonal!A:X,11,FALSE),0)</f>
        <v>0</v>
      </c>
      <c r="I129" s="610">
        <f>IFERROR(VLOOKUP($A129,Race_2024_Seasonal!A:X,12,FALSE),0)</f>
        <v>0</v>
      </c>
      <c r="J129" s="610">
        <f>IFERROR(VLOOKUP($A129,Race_2024_Seasonal!A:X,13,FALSE),0)</f>
        <v>0</v>
      </c>
      <c r="K129" s="610">
        <f>IFERROR(VLOOKUP($A129,Race_2024_Seasonal!A:X,14,FALSE),0)</f>
        <v>0</v>
      </c>
      <c r="L129" s="610">
        <f>IFERROR(VLOOKUP($A129,Race_2024_Seasonal!A:X,15,FALSE),0)</f>
        <v>0</v>
      </c>
      <c r="M129" s="610">
        <f>IFERROR(VLOOKUP($A129,Race_2024_Seasonal!A:X,16,FALSE),0)</f>
        <v>0</v>
      </c>
      <c r="N129" s="610">
        <f>IFERROR(VLOOKUP($A129,Race_2024_Seasonal!A:X,17,FALSE),0)</f>
        <v>0</v>
      </c>
      <c r="O129" s="610">
        <f>IFERROR(VLOOKUP($A129,Race_2024_Seasonal!A:X,18,FALSE),0)</f>
        <v>0</v>
      </c>
      <c r="P129" s="542"/>
      <c r="Q129" s="610">
        <f t="shared" si="1"/>
        <v>0</v>
      </c>
      <c r="R129" s="533"/>
      <c r="S129" s="659">
        <f>Q129-'P&amp;L'!I129</f>
        <v>0</v>
      </c>
    </row>
    <row r="130" spans="1:19" ht="15" x14ac:dyDescent="0.25">
      <c r="A130" s="534" t="s">
        <v>980</v>
      </c>
      <c r="B130" s="534" t="e">
        <f>IFERROR(VLOOKUP(A130,Race_2024_Seasonal!A:C,3,FALSE), VLOOKUP(A130,Race_2024_Seasonal!A:C,3,FALSE))</f>
        <v>#N/A</v>
      </c>
      <c r="C130" s="541" t="s">
        <v>981</v>
      </c>
      <c r="D130" s="610">
        <f>IFERROR(VLOOKUP($A130,Race_2024_Seasonal!A:X,7,FALSE),0)</f>
        <v>0</v>
      </c>
      <c r="E130" s="610">
        <f>IFERROR(VLOOKUP($A130,Race_2024_Seasonal!A:X,8,FALSE),0)</f>
        <v>0</v>
      </c>
      <c r="F130" s="610">
        <f>IFERROR(VLOOKUP($A130,Race_2024_Seasonal!A:X,9,FALSE),0)</f>
        <v>0</v>
      </c>
      <c r="G130" s="610">
        <f>IFERROR(VLOOKUP($A130,Race_2024_Seasonal!A:X,10,FALSE),0)</f>
        <v>0</v>
      </c>
      <c r="H130" s="610">
        <f>IFERROR(VLOOKUP($A130,Race_2024_Seasonal!A:X,11,FALSE),0)</f>
        <v>0</v>
      </c>
      <c r="I130" s="610">
        <f>IFERROR(VLOOKUP($A130,Race_2024_Seasonal!A:X,12,FALSE),0)</f>
        <v>0</v>
      </c>
      <c r="J130" s="610">
        <f>IFERROR(VLOOKUP($A130,Race_2024_Seasonal!A:X,13,FALSE),0)</f>
        <v>0</v>
      </c>
      <c r="K130" s="610">
        <f>IFERROR(VLOOKUP($A130,Race_2024_Seasonal!A:X,14,FALSE),0)</f>
        <v>0</v>
      </c>
      <c r="L130" s="610">
        <f>IFERROR(VLOOKUP($A130,Race_2024_Seasonal!A:X,15,FALSE),0)</f>
        <v>0</v>
      </c>
      <c r="M130" s="610">
        <f>IFERROR(VLOOKUP($A130,Race_2024_Seasonal!A:X,16,FALSE),0)</f>
        <v>0</v>
      </c>
      <c r="N130" s="610">
        <f>IFERROR(VLOOKUP($A130,Race_2024_Seasonal!A:X,17,FALSE),0)</f>
        <v>0</v>
      </c>
      <c r="O130" s="610">
        <f>IFERROR(VLOOKUP($A130,Race_2024_Seasonal!A:X,18,FALSE),0)</f>
        <v>0</v>
      </c>
      <c r="P130" s="542"/>
      <c r="Q130" s="610">
        <f t="shared" si="1"/>
        <v>0</v>
      </c>
      <c r="R130" s="533"/>
      <c r="S130" s="659">
        <f>Q130-'P&amp;L'!I130</f>
        <v>0</v>
      </c>
    </row>
    <row r="131" spans="1:19" ht="15" x14ac:dyDescent="0.25">
      <c r="A131" s="534" t="s">
        <v>982</v>
      </c>
      <c r="B131" s="534" t="e">
        <f>IFERROR(VLOOKUP(A131,Race_2024_Seasonal!A:C,3,FALSE), VLOOKUP(A131,Race_2024_Seasonal!A:C,3,FALSE))</f>
        <v>#N/A</v>
      </c>
      <c r="C131" s="541" t="s">
        <v>983</v>
      </c>
      <c r="D131" s="610">
        <f>IFERROR(VLOOKUP($A131,Race_2024_Seasonal!A:X,7,FALSE),0)</f>
        <v>0</v>
      </c>
      <c r="E131" s="610">
        <f>IFERROR(VLOOKUP($A131,Race_2024_Seasonal!A:X,8,FALSE),0)</f>
        <v>0</v>
      </c>
      <c r="F131" s="610">
        <f>IFERROR(VLOOKUP($A131,Race_2024_Seasonal!A:X,9,FALSE),0)</f>
        <v>0</v>
      </c>
      <c r="G131" s="610">
        <f>IFERROR(VLOOKUP($A131,Race_2024_Seasonal!A:X,10,FALSE),0)</f>
        <v>0</v>
      </c>
      <c r="H131" s="610">
        <f>IFERROR(VLOOKUP($A131,Race_2024_Seasonal!A:X,11,FALSE),0)</f>
        <v>0</v>
      </c>
      <c r="I131" s="610">
        <f>IFERROR(VLOOKUP($A131,Race_2024_Seasonal!A:X,12,FALSE),0)</f>
        <v>0</v>
      </c>
      <c r="J131" s="610">
        <f>IFERROR(VLOOKUP($A131,Race_2024_Seasonal!A:X,13,FALSE),0)</f>
        <v>0</v>
      </c>
      <c r="K131" s="610">
        <f>IFERROR(VLOOKUP($A131,Race_2024_Seasonal!A:X,14,FALSE),0)</f>
        <v>0</v>
      </c>
      <c r="L131" s="610">
        <f>IFERROR(VLOOKUP($A131,Race_2024_Seasonal!A:X,15,FALSE),0)</f>
        <v>0</v>
      </c>
      <c r="M131" s="610">
        <f>IFERROR(VLOOKUP($A131,Race_2024_Seasonal!A:X,16,FALSE),0)</f>
        <v>0</v>
      </c>
      <c r="N131" s="610">
        <f>IFERROR(VLOOKUP($A131,Race_2024_Seasonal!A:X,17,FALSE),0)</f>
        <v>0</v>
      </c>
      <c r="O131" s="610">
        <f>IFERROR(VLOOKUP($A131,Race_2024_Seasonal!A:X,18,FALSE),0)</f>
        <v>0</v>
      </c>
      <c r="P131" s="542"/>
      <c r="Q131" s="610">
        <f t="shared" si="1"/>
        <v>0</v>
      </c>
      <c r="R131" s="533"/>
      <c r="S131" s="659">
        <f>Q131-'P&amp;L'!I131</f>
        <v>0</v>
      </c>
    </row>
    <row r="132" spans="1:19" ht="15" x14ac:dyDescent="0.25">
      <c r="A132" s="534" t="s">
        <v>984</v>
      </c>
      <c r="B132" s="534" t="e">
        <f>IFERROR(VLOOKUP(A132,Race_2024_Seasonal!A:C,3,FALSE), VLOOKUP(A132,Race_2024_Seasonal!A:C,3,FALSE))</f>
        <v>#N/A</v>
      </c>
      <c r="C132" s="540" t="s">
        <v>985</v>
      </c>
      <c r="D132" s="655">
        <f>IFERROR(VLOOKUP($A132,Race_2024_Seasonal!A:X,7,FALSE),0)</f>
        <v>0</v>
      </c>
      <c r="E132" s="655">
        <f>IFERROR(VLOOKUP($A132,Race_2024_Seasonal!A:X,8,FALSE),0)</f>
        <v>0</v>
      </c>
      <c r="F132" s="655">
        <f>IFERROR(VLOOKUP($A132,Race_2024_Seasonal!A:X,9,FALSE),0)</f>
        <v>0</v>
      </c>
      <c r="G132" s="655">
        <f>IFERROR(VLOOKUP($A132,Race_2024_Seasonal!A:X,10,FALSE),0)</f>
        <v>0</v>
      </c>
      <c r="H132" s="655">
        <f>IFERROR(VLOOKUP($A132,Race_2024_Seasonal!A:X,11,FALSE),0)</f>
        <v>0</v>
      </c>
      <c r="I132" s="655">
        <f>IFERROR(VLOOKUP($A132,Race_2024_Seasonal!A:X,12,FALSE),0)</f>
        <v>0</v>
      </c>
      <c r="J132" s="655">
        <f>IFERROR(VLOOKUP($A132,Race_2024_Seasonal!A:X,13,FALSE),0)</f>
        <v>0</v>
      </c>
      <c r="K132" s="655">
        <f>IFERROR(VLOOKUP($A132,Race_2024_Seasonal!A:X,14,FALSE),0)</f>
        <v>0</v>
      </c>
      <c r="L132" s="655">
        <f>IFERROR(VLOOKUP($A132,Race_2024_Seasonal!A:X,15,FALSE),0)</f>
        <v>0</v>
      </c>
      <c r="M132" s="655">
        <f>IFERROR(VLOOKUP($A132,Race_2024_Seasonal!A:X,16,FALSE),0)</f>
        <v>0</v>
      </c>
      <c r="N132" s="655">
        <f>IFERROR(VLOOKUP($A132,Race_2024_Seasonal!A:X,17,FALSE),0)</f>
        <v>0</v>
      </c>
      <c r="O132" s="655">
        <f>IFERROR(VLOOKUP($A132,Race_2024_Seasonal!A:X,18,FALSE),0)</f>
        <v>0</v>
      </c>
      <c r="P132" s="542"/>
      <c r="Q132" s="655">
        <f t="shared" si="1"/>
        <v>0</v>
      </c>
      <c r="R132" s="533"/>
      <c r="S132" s="659">
        <f>Q132-'P&amp;L'!I132</f>
        <v>0</v>
      </c>
    </row>
    <row r="133" spans="1:19" ht="15" x14ac:dyDescent="0.25">
      <c r="A133" s="534" t="s">
        <v>986</v>
      </c>
      <c r="B133" s="534" t="e">
        <f>IFERROR(VLOOKUP(A133,Race_2024_Seasonal!A:C,3,FALSE), VLOOKUP(A133,Race_2024_Seasonal!A:C,3,FALSE))</f>
        <v>#N/A</v>
      </c>
      <c r="C133" s="537" t="s">
        <v>987</v>
      </c>
      <c r="D133" s="610">
        <f>IFERROR(VLOOKUP($A133,Race_2024_Seasonal!A:X,7,FALSE),0)</f>
        <v>0</v>
      </c>
      <c r="E133" s="610">
        <f>IFERROR(VLOOKUP($A133,Race_2024_Seasonal!A:X,8,FALSE),0)</f>
        <v>0</v>
      </c>
      <c r="F133" s="610">
        <f>IFERROR(VLOOKUP($A133,Race_2024_Seasonal!A:X,9,FALSE),0)</f>
        <v>0</v>
      </c>
      <c r="G133" s="610">
        <f>IFERROR(VLOOKUP($A133,Race_2024_Seasonal!A:X,10,FALSE),0)</f>
        <v>0</v>
      </c>
      <c r="H133" s="610">
        <f>IFERROR(VLOOKUP($A133,Race_2024_Seasonal!A:X,11,FALSE),0)</f>
        <v>0</v>
      </c>
      <c r="I133" s="610">
        <f>IFERROR(VLOOKUP($A133,Race_2024_Seasonal!A:X,12,FALSE),0)</f>
        <v>0</v>
      </c>
      <c r="J133" s="610">
        <f>IFERROR(VLOOKUP($A133,Race_2024_Seasonal!A:X,13,FALSE),0)</f>
        <v>0</v>
      </c>
      <c r="K133" s="610">
        <f>IFERROR(VLOOKUP($A133,Race_2024_Seasonal!A:X,14,FALSE),0)</f>
        <v>0</v>
      </c>
      <c r="L133" s="610">
        <f>IFERROR(VLOOKUP($A133,Race_2024_Seasonal!A:X,15,FALSE),0)</f>
        <v>0</v>
      </c>
      <c r="M133" s="610">
        <f>IFERROR(VLOOKUP($A133,Race_2024_Seasonal!A:X,16,FALSE),0)</f>
        <v>0</v>
      </c>
      <c r="N133" s="610">
        <f>IFERROR(VLOOKUP($A133,Race_2024_Seasonal!A:X,17,FALSE),0)</f>
        <v>0</v>
      </c>
      <c r="O133" s="610">
        <f>IFERROR(VLOOKUP($A133,Race_2024_Seasonal!A:X,18,FALSE),0)</f>
        <v>0</v>
      </c>
      <c r="P133" s="542"/>
      <c r="Q133" s="610">
        <f t="shared" si="1"/>
        <v>0</v>
      </c>
      <c r="R133" s="533"/>
      <c r="S133" s="659">
        <f>Q133-'P&amp;L'!I133</f>
        <v>0</v>
      </c>
    </row>
    <row r="134" spans="1:19" ht="15" x14ac:dyDescent="0.25">
      <c r="A134" s="603" t="s">
        <v>988</v>
      </c>
      <c r="B134" s="534" t="str">
        <f>IFERROR(VLOOKUP(A134,Race_2024_Seasonal!A:C,3,FALSE), VLOOKUP(A134,Race_2024_Seasonal!A:C,3,FALSE))</f>
        <v>NOP</v>
      </c>
      <c r="C134" s="604" t="s">
        <v>989</v>
      </c>
      <c r="D134" s="611">
        <f>IFERROR(VLOOKUP($A134,Race_2024_Seasonal!A:X,7,FALSE),0)</f>
        <v>138707.91099999999</v>
      </c>
      <c r="E134" s="611">
        <f>IFERROR(VLOOKUP($A134,Race_2024_Seasonal!A:X,8,FALSE),0)</f>
        <v>149830.29500000001</v>
      </c>
      <c r="F134" s="611">
        <f>IFERROR(VLOOKUP($A134,Race_2024_Seasonal!A:X,9,FALSE),0)</f>
        <v>143147.40299999999</v>
      </c>
      <c r="G134" s="611">
        <f>IFERROR(VLOOKUP($A134,Race_2024_Seasonal!A:X,10,FALSE),0)</f>
        <v>168158.47899999999</v>
      </c>
      <c r="H134" s="611">
        <f>IFERROR(VLOOKUP($A134,Race_2024_Seasonal!A:X,11,FALSE),0)</f>
        <v>174404.90900000001</v>
      </c>
      <c r="I134" s="611">
        <f>IFERROR(VLOOKUP($A134,Race_2024_Seasonal!A:X,12,FALSE),0)</f>
        <v>143277.77499999999</v>
      </c>
      <c r="J134" s="611">
        <f>IFERROR(VLOOKUP($A134,Race_2024_Seasonal!A:X,13,FALSE),0)</f>
        <v>159982.58300000001</v>
      </c>
      <c r="K134" s="611">
        <f>IFERROR(VLOOKUP($A134,Race_2024_Seasonal!A:X,14,FALSE),0)</f>
        <v>156601.601</v>
      </c>
      <c r="L134" s="611">
        <f>IFERROR(VLOOKUP($A134,Race_2024_Seasonal!A:X,15,FALSE),0)</f>
        <v>104482.069</v>
      </c>
      <c r="M134" s="611">
        <f>IFERROR(VLOOKUP($A134,Race_2024_Seasonal!A:X,16,FALSE),0)</f>
        <v>177313.00399999999</v>
      </c>
      <c r="N134" s="611">
        <f>IFERROR(VLOOKUP($A134,Race_2024_Seasonal!A:X,17,FALSE),0)</f>
        <v>163189.05799999999</v>
      </c>
      <c r="O134" s="611">
        <f>IFERROR(VLOOKUP($A134,Race_2024_Seasonal!A:X,18,FALSE),0)</f>
        <v>97617.827000000005</v>
      </c>
      <c r="P134" s="542"/>
      <c r="Q134" s="611">
        <f t="shared" si="1"/>
        <v>1776712.9139999999</v>
      </c>
      <c r="R134" s="533"/>
      <c r="S134" s="659">
        <f>Q134-'P&amp;L'!I134</f>
        <v>0</v>
      </c>
    </row>
    <row r="135" spans="1:19" ht="15" x14ac:dyDescent="0.25">
      <c r="A135" s="534" t="s">
        <v>990</v>
      </c>
      <c r="B135" s="534" t="e">
        <f>IFERROR(VLOOKUP(A135,Race_2024_Seasonal!A:C,3,FALSE), VLOOKUP(A135,Race_2024_Seasonal!A:C,3,FALSE))</f>
        <v>#N/A</v>
      </c>
      <c r="C135" s="540" t="s">
        <v>991</v>
      </c>
      <c r="D135" s="653">
        <f>IFERROR(VLOOKUP($A135,Race_2024_Seasonal!A:X,7,FALSE),0)</f>
        <v>0</v>
      </c>
      <c r="E135" s="653">
        <f>IFERROR(VLOOKUP($A135,Race_2024_Seasonal!A:X,8,FALSE),0)</f>
        <v>0</v>
      </c>
      <c r="F135" s="653">
        <f>IFERROR(VLOOKUP($A135,Race_2024_Seasonal!A:X,9,FALSE),0)</f>
        <v>0</v>
      </c>
      <c r="G135" s="653">
        <f>IFERROR(VLOOKUP($A135,Race_2024_Seasonal!A:X,10,FALSE),0)</f>
        <v>0</v>
      </c>
      <c r="H135" s="653">
        <f>IFERROR(VLOOKUP($A135,Race_2024_Seasonal!A:X,11,FALSE),0)</f>
        <v>0</v>
      </c>
      <c r="I135" s="653">
        <f>IFERROR(VLOOKUP($A135,Race_2024_Seasonal!A:X,12,FALSE),0)</f>
        <v>0</v>
      </c>
      <c r="J135" s="653">
        <f>IFERROR(VLOOKUP($A135,Race_2024_Seasonal!A:X,13,FALSE),0)</f>
        <v>0</v>
      </c>
      <c r="K135" s="653">
        <f>IFERROR(VLOOKUP($A135,Race_2024_Seasonal!A:X,14,FALSE),0)</f>
        <v>0</v>
      </c>
      <c r="L135" s="653">
        <f>IFERROR(VLOOKUP($A135,Race_2024_Seasonal!A:X,15,FALSE),0)</f>
        <v>0</v>
      </c>
      <c r="M135" s="653">
        <f>IFERROR(VLOOKUP($A135,Race_2024_Seasonal!A:X,16,FALSE),0)</f>
        <v>0</v>
      </c>
      <c r="N135" s="653">
        <f>IFERROR(VLOOKUP($A135,Race_2024_Seasonal!A:X,17,FALSE),0)</f>
        <v>0</v>
      </c>
      <c r="O135" s="653">
        <f>IFERROR(VLOOKUP($A135,Race_2024_Seasonal!A:X,18,FALSE),0)</f>
        <v>0</v>
      </c>
      <c r="P135" s="542"/>
      <c r="Q135" s="653">
        <f t="shared" si="1"/>
        <v>0</v>
      </c>
      <c r="R135" s="533"/>
      <c r="S135" s="659">
        <f>Q135-'P&amp;L'!I135</f>
        <v>0</v>
      </c>
    </row>
    <row r="136" spans="1:19" ht="15" x14ac:dyDescent="0.25">
      <c r="A136" s="534" t="s">
        <v>992</v>
      </c>
      <c r="B136" s="534" t="e">
        <f>IFERROR(VLOOKUP(A136,Race_2024_Seasonal!A:C,3,FALSE), VLOOKUP(A136,Race_2024_Seasonal!A:C,3,FALSE))</f>
        <v>#N/A</v>
      </c>
      <c r="C136" s="537" t="s">
        <v>993</v>
      </c>
      <c r="D136" s="648">
        <f>IFERROR(VLOOKUP($A136,Race_2024_Seasonal!A:X,7,FALSE),0)</f>
        <v>0</v>
      </c>
      <c r="E136" s="648">
        <f>IFERROR(VLOOKUP($A136,Race_2024_Seasonal!A:X,8,FALSE),0)</f>
        <v>0</v>
      </c>
      <c r="F136" s="648">
        <f>IFERROR(VLOOKUP($A136,Race_2024_Seasonal!A:X,9,FALSE),0)</f>
        <v>0</v>
      </c>
      <c r="G136" s="648">
        <f>IFERROR(VLOOKUP($A136,Race_2024_Seasonal!A:X,10,FALSE),0)</f>
        <v>0</v>
      </c>
      <c r="H136" s="648">
        <f>IFERROR(VLOOKUP($A136,Race_2024_Seasonal!A:X,11,FALSE),0)</f>
        <v>0</v>
      </c>
      <c r="I136" s="648">
        <f>IFERROR(VLOOKUP($A136,Race_2024_Seasonal!A:X,12,FALSE),0)</f>
        <v>0</v>
      </c>
      <c r="J136" s="648">
        <f>IFERROR(VLOOKUP($A136,Race_2024_Seasonal!A:X,13,FALSE),0)</f>
        <v>0</v>
      </c>
      <c r="K136" s="648">
        <f>IFERROR(VLOOKUP($A136,Race_2024_Seasonal!A:X,14,FALSE),0)</f>
        <v>0</v>
      </c>
      <c r="L136" s="648">
        <f>IFERROR(VLOOKUP($A136,Race_2024_Seasonal!A:X,15,FALSE),0)</f>
        <v>0</v>
      </c>
      <c r="M136" s="648">
        <f>IFERROR(VLOOKUP($A136,Race_2024_Seasonal!A:X,16,FALSE),0)</f>
        <v>0</v>
      </c>
      <c r="N136" s="648">
        <f>IFERROR(VLOOKUP($A136,Race_2024_Seasonal!A:X,17,FALSE),0)</f>
        <v>0</v>
      </c>
      <c r="O136" s="648">
        <f>IFERROR(VLOOKUP($A136,Race_2024_Seasonal!A:X,18,FALSE),0)</f>
        <v>0</v>
      </c>
      <c r="P136" s="542"/>
      <c r="Q136" s="648">
        <f t="shared" ref="Q136:Q145" si="2">SUM(D136:O136)</f>
        <v>0</v>
      </c>
      <c r="R136" s="533"/>
      <c r="S136" s="659">
        <f>Q136-'P&amp;L'!I136</f>
        <v>0</v>
      </c>
    </row>
    <row r="137" spans="1:19" ht="15" x14ac:dyDescent="0.25">
      <c r="A137" s="534" t="s">
        <v>994</v>
      </c>
      <c r="B137" s="534" t="e">
        <f>IFERROR(VLOOKUP(A137,Race_2024_Seasonal!A:C,3,FALSE), VLOOKUP(A137,Race_2024_Seasonal!A:C,3,FALSE))</f>
        <v>#N/A</v>
      </c>
      <c r="C137" s="537" t="s">
        <v>205</v>
      </c>
      <c r="D137" s="648">
        <f>IFERROR(VLOOKUP($A137,Race_2024_Seasonal!A:X,7,FALSE),0)</f>
        <v>0</v>
      </c>
      <c r="E137" s="648">
        <f>IFERROR(VLOOKUP($A137,Race_2024_Seasonal!A:X,8,FALSE),0)</f>
        <v>0</v>
      </c>
      <c r="F137" s="648">
        <f>IFERROR(VLOOKUP($A137,Race_2024_Seasonal!A:X,9,FALSE),0)</f>
        <v>0</v>
      </c>
      <c r="G137" s="648">
        <f>IFERROR(VLOOKUP($A137,Race_2024_Seasonal!A:X,10,FALSE),0)</f>
        <v>0</v>
      </c>
      <c r="H137" s="648">
        <f>IFERROR(VLOOKUP($A137,Race_2024_Seasonal!A:X,11,FALSE),0)</f>
        <v>0</v>
      </c>
      <c r="I137" s="648">
        <f>IFERROR(VLOOKUP($A137,Race_2024_Seasonal!A:X,12,FALSE),0)</f>
        <v>0</v>
      </c>
      <c r="J137" s="648">
        <f>IFERROR(VLOOKUP($A137,Race_2024_Seasonal!A:X,13,FALSE),0)</f>
        <v>0</v>
      </c>
      <c r="K137" s="648">
        <f>IFERROR(VLOOKUP($A137,Race_2024_Seasonal!A:X,14,FALSE),0)</f>
        <v>0</v>
      </c>
      <c r="L137" s="648">
        <f>IFERROR(VLOOKUP($A137,Race_2024_Seasonal!A:X,15,FALSE),0)</f>
        <v>0</v>
      </c>
      <c r="M137" s="648">
        <f>IFERROR(VLOOKUP($A137,Race_2024_Seasonal!A:X,16,FALSE),0)</f>
        <v>0</v>
      </c>
      <c r="N137" s="648">
        <f>IFERROR(VLOOKUP($A137,Race_2024_Seasonal!A:X,17,FALSE),0)</f>
        <v>0</v>
      </c>
      <c r="O137" s="648">
        <f>IFERROR(VLOOKUP($A137,Race_2024_Seasonal!A:X,18,FALSE),0)</f>
        <v>0</v>
      </c>
      <c r="P137" s="542"/>
      <c r="Q137" s="648">
        <f t="shared" si="2"/>
        <v>0</v>
      </c>
      <c r="R137" s="533"/>
      <c r="S137" s="659">
        <f>Q137-'P&amp;L'!I137</f>
        <v>0</v>
      </c>
    </row>
    <row r="138" spans="1:19" ht="15" x14ac:dyDescent="0.25">
      <c r="A138" s="534" t="s">
        <v>995</v>
      </c>
      <c r="B138" s="534" t="e">
        <f>IFERROR(VLOOKUP(A138,Race_2024_Seasonal!A:C,3,FALSE), VLOOKUP(A138,Race_2024_Seasonal!A:C,3,FALSE))</f>
        <v>#N/A</v>
      </c>
      <c r="C138" s="537" t="s">
        <v>996</v>
      </c>
      <c r="D138" s="648">
        <f>IFERROR(VLOOKUP($A138,Race_2024_Seasonal!A:X,7,FALSE),0)</f>
        <v>0</v>
      </c>
      <c r="E138" s="648">
        <f>IFERROR(VLOOKUP($A138,Race_2024_Seasonal!A:X,8,FALSE),0)</f>
        <v>0</v>
      </c>
      <c r="F138" s="648">
        <f>IFERROR(VLOOKUP($A138,Race_2024_Seasonal!A:X,9,FALSE),0)</f>
        <v>0</v>
      </c>
      <c r="G138" s="648">
        <f>IFERROR(VLOOKUP($A138,Race_2024_Seasonal!A:X,10,FALSE),0)</f>
        <v>0</v>
      </c>
      <c r="H138" s="648">
        <f>IFERROR(VLOOKUP($A138,Race_2024_Seasonal!A:X,11,FALSE),0)</f>
        <v>0</v>
      </c>
      <c r="I138" s="648">
        <f>IFERROR(VLOOKUP($A138,Race_2024_Seasonal!A:X,12,FALSE),0)</f>
        <v>0</v>
      </c>
      <c r="J138" s="648">
        <f>IFERROR(VLOOKUP($A138,Race_2024_Seasonal!A:X,13,FALSE),0)</f>
        <v>0</v>
      </c>
      <c r="K138" s="648">
        <f>IFERROR(VLOOKUP($A138,Race_2024_Seasonal!A:X,14,FALSE),0)</f>
        <v>0</v>
      </c>
      <c r="L138" s="648">
        <f>IFERROR(VLOOKUP($A138,Race_2024_Seasonal!A:X,15,FALSE),0)</f>
        <v>0</v>
      </c>
      <c r="M138" s="648">
        <f>IFERROR(VLOOKUP($A138,Race_2024_Seasonal!A:X,16,FALSE),0)</f>
        <v>0</v>
      </c>
      <c r="N138" s="648">
        <f>IFERROR(VLOOKUP($A138,Race_2024_Seasonal!A:X,17,FALSE),0)</f>
        <v>0</v>
      </c>
      <c r="O138" s="648">
        <f>IFERROR(VLOOKUP($A138,Race_2024_Seasonal!A:X,18,FALSE),0)</f>
        <v>0</v>
      </c>
      <c r="P138" s="542"/>
      <c r="Q138" s="648">
        <f t="shared" si="2"/>
        <v>0</v>
      </c>
      <c r="R138" s="533"/>
      <c r="S138" s="659">
        <f>Q138-'P&amp;L'!I138</f>
        <v>0</v>
      </c>
    </row>
    <row r="139" spans="1:19" ht="15" x14ac:dyDescent="0.25">
      <c r="A139" s="534" t="s">
        <v>997</v>
      </c>
      <c r="B139" s="534" t="e">
        <f>IFERROR(VLOOKUP(A139,Race_2024_Seasonal!A:C,3,FALSE), VLOOKUP(A139,Race_2024_Seasonal!A:C,3,FALSE))</f>
        <v>#N/A</v>
      </c>
      <c r="C139" s="537" t="s">
        <v>998</v>
      </c>
      <c r="D139" s="613">
        <f>IFERROR(VLOOKUP($A139,Race_2024_Seasonal!A:X,7,FALSE),0)</f>
        <v>0</v>
      </c>
      <c r="E139" s="613">
        <f>IFERROR(VLOOKUP($A139,Race_2024_Seasonal!A:X,8,FALSE),0)</f>
        <v>0</v>
      </c>
      <c r="F139" s="613">
        <f>IFERROR(VLOOKUP($A139,Race_2024_Seasonal!A:X,9,FALSE),0)</f>
        <v>0</v>
      </c>
      <c r="G139" s="613">
        <f>IFERROR(VLOOKUP($A139,Race_2024_Seasonal!A:X,10,FALSE),0)</f>
        <v>0</v>
      </c>
      <c r="H139" s="613">
        <f>IFERROR(VLOOKUP($A139,Race_2024_Seasonal!A:X,11,FALSE),0)</f>
        <v>0</v>
      </c>
      <c r="I139" s="613">
        <f>IFERROR(VLOOKUP($A139,Race_2024_Seasonal!A:X,12,FALSE),0)</f>
        <v>0</v>
      </c>
      <c r="J139" s="613">
        <f>IFERROR(VLOOKUP($A139,Race_2024_Seasonal!A:X,13,FALSE),0)</f>
        <v>0</v>
      </c>
      <c r="K139" s="613">
        <f>IFERROR(VLOOKUP($A139,Race_2024_Seasonal!A:X,14,FALSE),0)</f>
        <v>0</v>
      </c>
      <c r="L139" s="613">
        <f>IFERROR(VLOOKUP($A139,Race_2024_Seasonal!A:X,15,FALSE),0)</f>
        <v>0</v>
      </c>
      <c r="M139" s="613">
        <f>IFERROR(VLOOKUP($A139,Race_2024_Seasonal!A:X,16,FALSE),0)</f>
        <v>0</v>
      </c>
      <c r="N139" s="613">
        <f>IFERROR(VLOOKUP($A139,Race_2024_Seasonal!A:X,17,FALSE),0)</f>
        <v>0</v>
      </c>
      <c r="O139" s="613">
        <f>IFERROR(VLOOKUP($A139,Race_2024_Seasonal!A:X,18,FALSE),0)</f>
        <v>0</v>
      </c>
      <c r="P139" s="533"/>
      <c r="Q139" s="613">
        <f t="shared" si="2"/>
        <v>0</v>
      </c>
      <c r="R139" s="533"/>
      <c r="S139" s="659">
        <f>Q139-'P&amp;L'!I139</f>
        <v>0</v>
      </c>
    </row>
    <row r="140" spans="1:19" ht="15" x14ac:dyDescent="0.25">
      <c r="A140" s="534" t="s">
        <v>999</v>
      </c>
      <c r="B140" s="534" t="e">
        <f>IFERROR(VLOOKUP(A140,Race_2024_Seasonal!A:C,3,FALSE), VLOOKUP(A140,Race_2024_Seasonal!A:C,3,FALSE))</f>
        <v>#N/A</v>
      </c>
      <c r="C140" s="537" t="s">
        <v>1000</v>
      </c>
      <c r="D140" s="613">
        <f>IFERROR(VLOOKUP($A140,Race_2024_Seasonal!A:X,7,FALSE),0)</f>
        <v>0</v>
      </c>
      <c r="E140" s="613">
        <f>IFERROR(VLOOKUP($A140,Race_2024_Seasonal!A:X,8,FALSE),0)</f>
        <v>0</v>
      </c>
      <c r="F140" s="613">
        <f>IFERROR(VLOOKUP($A140,Race_2024_Seasonal!A:X,9,FALSE),0)</f>
        <v>0</v>
      </c>
      <c r="G140" s="613">
        <f>IFERROR(VLOOKUP($A140,Race_2024_Seasonal!A:X,10,FALSE),0)</f>
        <v>0</v>
      </c>
      <c r="H140" s="613">
        <f>IFERROR(VLOOKUP($A140,Race_2024_Seasonal!A:X,11,FALSE),0)</f>
        <v>0</v>
      </c>
      <c r="I140" s="613">
        <f>IFERROR(VLOOKUP($A140,Race_2024_Seasonal!A:X,12,FALSE),0)</f>
        <v>0</v>
      </c>
      <c r="J140" s="613">
        <f>IFERROR(VLOOKUP($A140,Race_2024_Seasonal!A:X,13,FALSE),0)</f>
        <v>0</v>
      </c>
      <c r="K140" s="613">
        <f>IFERROR(VLOOKUP($A140,Race_2024_Seasonal!A:X,14,FALSE),0)</f>
        <v>0</v>
      </c>
      <c r="L140" s="613">
        <f>IFERROR(VLOOKUP($A140,Race_2024_Seasonal!A:X,15,FALSE),0)</f>
        <v>0</v>
      </c>
      <c r="M140" s="613">
        <f>IFERROR(VLOOKUP($A140,Race_2024_Seasonal!A:X,16,FALSE),0)</f>
        <v>0</v>
      </c>
      <c r="N140" s="613">
        <f>IFERROR(VLOOKUP($A140,Race_2024_Seasonal!A:X,17,FALSE),0)</f>
        <v>0</v>
      </c>
      <c r="O140" s="613">
        <f>IFERROR(VLOOKUP($A140,Race_2024_Seasonal!A:X,18,FALSE),0)</f>
        <v>0</v>
      </c>
      <c r="P140" s="542"/>
      <c r="Q140" s="613">
        <f t="shared" si="2"/>
        <v>0</v>
      </c>
      <c r="R140" s="533"/>
      <c r="S140" s="659">
        <f>Q140-'P&amp;L'!I140</f>
        <v>0</v>
      </c>
    </row>
    <row r="141" spans="1:19" ht="15" x14ac:dyDescent="0.25">
      <c r="A141" s="534" t="s">
        <v>1001</v>
      </c>
      <c r="B141" s="534" t="e">
        <f>IFERROR(VLOOKUP(A141,Race_2024_Seasonal!A:C,3,FALSE), VLOOKUP(A141,Race_2024_Seasonal!A:C,3,FALSE))</f>
        <v>#N/A</v>
      </c>
      <c r="C141" s="537" t="s">
        <v>1002</v>
      </c>
      <c r="D141" s="613">
        <f>IFERROR(VLOOKUP($A141,Race_2024_Seasonal!A:X,7,FALSE),0)</f>
        <v>0</v>
      </c>
      <c r="E141" s="613">
        <f>IFERROR(VLOOKUP($A141,Race_2024_Seasonal!A:X,8,FALSE),0)</f>
        <v>0</v>
      </c>
      <c r="F141" s="613">
        <f>IFERROR(VLOOKUP($A141,Race_2024_Seasonal!A:X,9,FALSE),0)</f>
        <v>0</v>
      </c>
      <c r="G141" s="613">
        <f>IFERROR(VLOOKUP($A141,Race_2024_Seasonal!A:X,10,FALSE),0)</f>
        <v>0</v>
      </c>
      <c r="H141" s="613">
        <f>IFERROR(VLOOKUP($A141,Race_2024_Seasonal!A:X,11,FALSE),0)</f>
        <v>0</v>
      </c>
      <c r="I141" s="613">
        <f>IFERROR(VLOOKUP($A141,Race_2024_Seasonal!A:X,12,FALSE),0)</f>
        <v>0</v>
      </c>
      <c r="J141" s="613">
        <f>IFERROR(VLOOKUP($A141,Race_2024_Seasonal!A:X,13,FALSE),0)</f>
        <v>0</v>
      </c>
      <c r="K141" s="613">
        <f>IFERROR(VLOOKUP($A141,Race_2024_Seasonal!A:X,14,FALSE),0)</f>
        <v>0</v>
      </c>
      <c r="L141" s="613">
        <f>IFERROR(VLOOKUP($A141,Race_2024_Seasonal!A:X,15,FALSE),0)</f>
        <v>0</v>
      </c>
      <c r="M141" s="613">
        <f>IFERROR(VLOOKUP($A141,Race_2024_Seasonal!A:X,16,FALSE),0)</f>
        <v>0</v>
      </c>
      <c r="N141" s="613">
        <f>IFERROR(VLOOKUP($A141,Race_2024_Seasonal!A:X,17,FALSE),0)</f>
        <v>0</v>
      </c>
      <c r="O141" s="613">
        <f>IFERROR(VLOOKUP($A141,Race_2024_Seasonal!A:X,18,FALSE),0)</f>
        <v>0</v>
      </c>
      <c r="P141" s="542"/>
      <c r="Q141" s="613">
        <f t="shared" si="2"/>
        <v>0</v>
      </c>
      <c r="R141" s="533"/>
      <c r="S141" s="659">
        <f>Q141-'P&amp;L'!I141</f>
        <v>0</v>
      </c>
    </row>
    <row r="142" spans="1:19" ht="15" x14ac:dyDescent="0.25">
      <c r="A142" s="534" t="s">
        <v>1003</v>
      </c>
      <c r="B142" s="534" t="e">
        <f>IFERROR(VLOOKUP(A142,Race_2024_Seasonal!A:C,3,FALSE), VLOOKUP(A142,Race_2024_Seasonal!A:C,3,FALSE))</f>
        <v>#N/A</v>
      </c>
      <c r="C142" s="537" t="s">
        <v>1004</v>
      </c>
      <c r="D142" s="613">
        <f>IFERROR(VLOOKUP($A142,Race_2024_Seasonal!A:X,7,FALSE),0)</f>
        <v>0</v>
      </c>
      <c r="E142" s="613">
        <f>IFERROR(VLOOKUP($A142,Race_2024_Seasonal!A:X,8,FALSE),0)</f>
        <v>0</v>
      </c>
      <c r="F142" s="613">
        <f>IFERROR(VLOOKUP($A142,Race_2024_Seasonal!A:X,9,FALSE),0)</f>
        <v>0</v>
      </c>
      <c r="G142" s="613">
        <f>IFERROR(VLOOKUP($A142,Race_2024_Seasonal!A:X,10,FALSE),0)</f>
        <v>0</v>
      </c>
      <c r="H142" s="613">
        <f>IFERROR(VLOOKUP($A142,Race_2024_Seasonal!A:X,11,FALSE),0)</f>
        <v>0</v>
      </c>
      <c r="I142" s="613">
        <f>IFERROR(VLOOKUP($A142,Race_2024_Seasonal!A:X,12,FALSE),0)</f>
        <v>0</v>
      </c>
      <c r="J142" s="613">
        <f>IFERROR(VLOOKUP($A142,Race_2024_Seasonal!A:X,13,FALSE),0)</f>
        <v>0</v>
      </c>
      <c r="K142" s="613">
        <f>IFERROR(VLOOKUP($A142,Race_2024_Seasonal!A:X,14,FALSE),0)</f>
        <v>0</v>
      </c>
      <c r="L142" s="613">
        <f>IFERROR(VLOOKUP($A142,Race_2024_Seasonal!A:X,15,FALSE),0)</f>
        <v>0</v>
      </c>
      <c r="M142" s="613">
        <f>IFERROR(VLOOKUP($A142,Race_2024_Seasonal!A:X,16,FALSE),0)</f>
        <v>0</v>
      </c>
      <c r="N142" s="613">
        <f>IFERROR(VLOOKUP($A142,Race_2024_Seasonal!A:X,17,FALSE),0)</f>
        <v>0</v>
      </c>
      <c r="O142" s="613">
        <f>IFERROR(VLOOKUP($A142,Race_2024_Seasonal!A:X,18,FALSE),0)</f>
        <v>0</v>
      </c>
      <c r="P142" s="542"/>
      <c r="Q142" s="613">
        <f t="shared" si="2"/>
        <v>0</v>
      </c>
      <c r="R142" s="533"/>
      <c r="S142" s="659">
        <f>Q142-'P&amp;L'!I142</f>
        <v>0</v>
      </c>
    </row>
    <row r="143" spans="1:19" ht="15" x14ac:dyDescent="0.25">
      <c r="A143" s="534" t="s">
        <v>1005</v>
      </c>
      <c r="B143" s="534" t="e">
        <f>IFERROR(VLOOKUP(A143,Race_2024_Seasonal!A:C,3,FALSE), VLOOKUP(A143,Race_2024_Seasonal!A:C,3,FALSE))</f>
        <v>#N/A</v>
      </c>
      <c r="C143" s="537" t="s">
        <v>1006</v>
      </c>
      <c r="D143" s="613">
        <f>IFERROR(VLOOKUP($A143,Race_2024_Seasonal!A:X,7,FALSE),0)</f>
        <v>0</v>
      </c>
      <c r="E143" s="613">
        <f>IFERROR(VLOOKUP($A143,Race_2024_Seasonal!A:X,8,FALSE),0)</f>
        <v>0</v>
      </c>
      <c r="F143" s="613">
        <f>IFERROR(VLOOKUP($A143,Race_2024_Seasonal!A:X,9,FALSE),0)</f>
        <v>0</v>
      </c>
      <c r="G143" s="613">
        <f>IFERROR(VLOOKUP($A143,Race_2024_Seasonal!A:X,10,FALSE),0)</f>
        <v>0</v>
      </c>
      <c r="H143" s="613">
        <f>IFERROR(VLOOKUP($A143,Race_2024_Seasonal!A:X,11,FALSE),0)</f>
        <v>0</v>
      </c>
      <c r="I143" s="613">
        <f>IFERROR(VLOOKUP($A143,Race_2024_Seasonal!A:X,12,FALSE),0)</f>
        <v>0</v>
      </c>
      <c r="J143" s="613">
        <f>IFERROR(VLOOKUP($A143,Race_2024_Seasonal!A:X,13,FALSE),0)</f>
        <v>0</v>
      </c>
      <c r="K143" s="613">
        <f>IFERROR(VLOOKUP($A143,Race_2024_Seasonal!A:X,14,FALSE),0)</f>
        <v>0</v>
      </c>
      <c r="L143" s="613">
        <f>IFERROR(VLOOKUP($A143,Race_2024_Seasonal!A:X,15,FALSE),0)</f>
        <v>0</v>
      </c>
      <c r="M143" s="613">
        <f>IFERROR(VLOOKUP($A143,Race_2024_Seasonal!A:X,16,FALSE),0)</f>
        <v>0</v>
      </c>
      <c r="N143" s="613">
        <f>IFERROR(VLOOKUP($A143,Race_2024_Seasonal!A:X,17,FALSE),0)</f>
        <v>0</v>
      </c>
      <c r="O143" s="613">
        <f>IFERROR(VLOOKUP($A143,Race_2024_Seasonal!A:X,18,FALSE),0)</f>
        <v>0</v>
      </c>
      <c r="P143" s="542"/>
      <c r="Q143" s="613">
        <f t="shared" si="2"/>
        <v>0</v>
      </c>
      <c r="R143" s="533"/>
      <c r="S143" s="659">
        <f>Q143-'P&amp;L'!I143</f>
        <v>0</v>
      </c>
    </row>
    <row r="144" spans="1:19" ht="15" x14ac:dyDescent="0.25">
      <c r="A144" s="534" t="s">
        <v>1007</v>
      </c>
      <c r="B144" s="534" t="e">
        <f>IFERROR(VLOOKUP(A144,Race_2024_Seasonal!A:C,3,FALSE), VLOOKUP(A144,Race_2024_Seasonal!A:C,3,FALSE))</f>
        <v>#N/A</v>
      </c>
      <c r="C144" s="537" t="s">
        <v>1008</v>
      </c>
      <c r="D144" s="613">
        <f>IFERROR(VLOOKUP($A144,Race_2024_Seasonal!A:X,7,FALSE),0)</f>
        <v>0</v>
      </c>
      <c r="E144" s="613">
        <f>IFERROR(VLOOKUP($A144,Race_2024_Seasonal!A:X,8,FALSE),0)</f>
        <v>0</v>
      </c>
      <c r="F144" s="613">
        <f>IFERROR(VLOOKUP($A144,Race_2024_Seasonal!A:X,9,FALSE),0)</f>
        <v>0</v>
      </c>
      <c r="G144" s="613">
        <f>IFERROR(VLOOKUP($A144,Race_2024_Seasonal!A:X,10,FALSE),0)</f>
        <v>0</v>
      </c>
      <c r="H144" s="613">
        <f>IFERROR(VLOOKUP($A144,Race_2024_Seasonal!A:X,11,FALSE),0)</f>
        <v>0</v>
      </c>
      <c r="I144" s="613">
        <f>IFERROR(VLOOKUP($A144,Race_2024_Seasonal!A:X,12,FALSE),0)</f>
        <v>0</v>
      </c>
      <c r="J144" s="613">
        <f>IFERROR(VLOOKUP($A144,Race_2024_Seasonal!A:X,13,FALSE),0)</f>
        <v>0</v>
      </c>
      <c r="K144" s="613">
        <f>IFERROR(VLOOKUP($A144,Race_2024_Seasonal!A:X,14,FALSE),0)</f>
        <v>0</v>
      </c>
      <c r="L144" s="613">
        <f>IFERROR(VLOOKUP($A144,Race_2024_Seasonal!A:X,15,FALSE),0)</f>
        <v>0</v>
      </c>
      <c r="M144" s="613">
        <f>IFERROR(VLOOKUP($A144,Race_2024_Seasonal!A:X,16,FALSE),0)</f>
        <v>0</v>
      </c>
      <c r="N144" s="613">
        <f>IFERROR(VLOOKUP($A144,Race_2024_Seasonal!A:X,17,FALSE),0)</f>
        <v>0</v>
      </c>
      <c r="O144" s="613">
        <f>IFERROR(VLOOKUP($A144,Race_2024_Seasonal!A:X,18,FALSE),0)</f>
        <v>0</v>
      </c>
      <c r="P144" s="542"/>
      <c r="Q144" s="613">
        <f t="shared" si="2"/>
        <v>0</v>
      </c>
      <c r="R144" s="533"/>
      <c r="S144" s="659">
        <f>Q144-'P&amp;L'!I144</f>
        <v>0</v>
      </c>
    </row>
    <row r="145" spans="1:19" ht="15" x14ac:dyDescent="0.25">
      <c r="A145" s="534" t="s">
        <v>1009</v>
      </c>
      <c r="B145" s="534" t="e">
        <f>IFERROR(VLOOKUP(A145,Race_2024_Seasonal!A:C,3,FALSE), VLOOKUP(A145,Race_2024_Seasonal!A:C,3,FALSE))</f>
        <v>#N/A</v>
      </c>
      <c r="C145" s="537" t="s">
        <v>1010</v>
      </c>
      <c r="D145" s="613">
        <f>IFERROR(VLOOKUP($A145,Race_2024_Seasonal!A:X,7,FALSE),0)</f>
        <v>0</v>
      </c>
      <c r="E145" s="613">
        <f>IFERROR(VLOOKUP($A145,Race_2024_Seasonal!A:X,8,FALSE),0)</f>
        <v>0</v>
      </c>
      <c r="F145" s="613">
        <f>IFERROR(VLOOKUP($A145,Race_2024_Seasonal!A:X,9,FALSE),0)</f>
        <v>0</v>
      </c>
      <c r="G145" s="613">
        <f>IFERROR(VLOOKUP($A145,Race_2024_Seasonal!A:X,10,FALSE),0)</f>
        <v>0</v>
      </c>
      <c r="H145" s="613">
        <f>IFERROR(VLOOKUP($A145,Race_2024_Seasonal!A:X,11,FALSE),0)</f>
        <v>0</v>
      </c>
      <c r="I145" s="613">
        <f>IFERROR(VLOOKUP($A145,Race_2024_Seasonal!A:X,12,FALSE),0)</f>
        <v>0</v>
      </c>
      <c r="J145" s="613">
        <f>IFERROR(VLOOKUP($A145,Race_2024_Seasonal!A:X,13,FALSE),0)</f>
        <v>0</v>
      </c>
      <c r="K145" s="613">
        <f>IFERROR(VLOOKUP($A145,Race_2024_Seasonal!A:X,14,FALSE),0)</f>
        <v>0</v>
      </c>
      <c r="L145" s="613">
        <f>IFERROR(VLOOKUP($A145,Race_2024_Seasonal!A:X,15,FALSE),0)</f>
        <v>0</v>
      </c>
      <c r="M145" s="613">
        <f>IFERROR(VLOOKUP($A145,Race_2024_Seasonal!A:X,16,FALSE),0)</f>
        <v>0</v>
      </c>
      <c r="N145" s="613">
        <f>IFERROR(VLOOKUP($A145,Race_2024_Seasonal!A:X,17,FALSE),0)</f>
        <v>0</v>
      </c>
      <c r="O145" s="613">
        <f>IFERROR(VLOOKUP($A145,Race_2024_Seasonal!A:X,18,FALSE),0)</f>
        <v>0</v>
      </c>
      <c r="P145" s="542"/>
      <c r="Q145" s="613">
        <f t="shared" si="2"/>
        <v>0</v>
      </c>
      <c r="R145" s="533"/>
      <c r="S145" s="659">
        <f>Q145-'P&amp;L'!I145</f>
        <v>0</v>
      </c>
    </row>
    <row r="146" spans="1:19" ht="15" x14ac:dyDescent="0.25">
      <c r="A146" s="534" t="s">
        <v>1011</v>
      </c>
      <c r="B146" s="534" t="e">
        <f>IFERROR(VLOOKUP(A146,Race_2024_Seasonal!A:C,3,FALSE), VLOOKUP(A146,Race_2024_Seasonal!A:C,3,FALSE))</f>
        <v>#N/A</v>
      </c>
      <c r="C146" s="537" t="s">
        <v>1012</v>
      </c>
      <c r="D146" s="651">
        <f>IFERROR(VLOOKUP($A146,Race_2024_Seasonal!A:X,7,FALSE),0)</f>
        <v>0</v>
      </c>
      <c r="E146" s="651">
        <f>IFERROR(VLOOKUP($A146,Race_2024_Seasonal!A:X,8,FALSE),0)</f>
        <v>0</v>
      </c>
      <c r="F146" s="651">
        <f>IFERROR(VLOOKUP($A146,Race_2024_Seasonal!A:X,9,FALSE),0)</f>
        <v>0</v>
      </c>
      <c r="G146" s="651">
        <f>IFERROR(VLOOKUP($A146,Race_2024_Seasonal!A:X,10,FALSE),0)</f>
        <v>0</v>
      </c>
      <c r="H146" s="651">
        <f>IFERROR(VLOOKUP($A146,Race_2024_Seasonal!A:X,11,FALSE),0)</f>
        <v>0</v>
      </c>
      <c r="I146" s="651">
        <f>IFERROR(VLOOKUP($A146,Race_2024_Seasonal!A:X,12,FALSE),0)</f>
        <v>0</v>
      </c>
      <c r="J146" s="651">
        <f>IFERROR(VLOOKUP($A146,Race_2024_Seasonal!A:X,13,FALSE),0)</f>
        <v>0</v>
      </c>
      <c r="K146" s="651">
        <f>IFERROR(VLOOKUP($A146,Race_2024_Seasonal!A:X,14,FALSE),0)</f>
        <v>0</v>
      </c>
      <c r="L146" s="651">
        <f>IFERROR(VLOOKUP($A146,Race_2024_Seasonal!A:X,15,FALSE),0)</f>
        <v>0</v>
      </c>
      <c r="M146" s="651">
        <f>IFERROR(VLOOKUP($A146,Race_2024_Seasonal!A:X,16,FALSE),0)</f>
        <v>0</v>
      </c>
      <c r="N146" s="651">
        <f>IFERROR(VLOOKUP($A146,Race_2024_Seasonal!A:X,17,FALSE),0)</f>
        <v>0</v>
      </c>
      <c r="O146" s="651">
        <f>IFERROR(VLOOKUP($A146,Race_2024_Seasonal!A:X,18,FALSE),0)</f>
        <v>0</v>
      </c>
      <c r="P146" s="533"/>
      <c r="Q146" s="651">
        <f>SUM(D146:O146)</f>
        <v>0</v>
      </c>
      <c r="R146" s="533"/>
      <c r="S146" s="659">
        <f>Q146-'P&amp;L'!I146</f>
        <v>0</v>
      </c>
    </row>
    <row r="147" spans="1:19" ht="12.75" customHeight="1" x14ac:dyDescent="0.25">
      <c r="A147" s="603" t="s">
        <v>1013</v>
      </c>
      <c r="B147" s="534" t="str">
        <f>IFERROR(VLOOKUP(A147,Race_2024_Seasonal!A:C,3,FALSE), VLOOKUP(A147,Race_2024_Seasonal!A:C,3,FALSE))</f>
        <v>EBIT</v>
      </c>
      <c r="C147" s="605" t="s">
        <v>1014</v>
      </c>
      <c r="D147" s="612">
        <f>IFERROR(VLOOKUP($A147,Race_2024_Seasonal!A:X,7,FALSE),0)</f>
        <v>138707.91099999999</v>
      </c>
      <c r="E147" s="612">
        <f>IFERROR(VLOOKUP($A147,Race_2024_Seasonal!A:X,8,FALSE),0)</f>
        <v>149830.29500000001</v>
      </c>
      <c r="F147" s="612">
        <f>IFERROR(VLOOKUP($A147,Race_2024_Seasonal!A:X,9,FALSE),0)</f>
        <v>143147.40299999999</v>
      </c>
      <c r="G147" s="612">
        <f>IFERROR(VLOOKUP($A147,Race_2024_Seasonal!A:X,10,FALSE),0)</f>
        <v>168158.47899999999</v>
      </c>
      <c r="H147" s="612">
        <f>IFERROR(VLOOKUP($A147,Race_2024_Seasonal!A:X,11,FALSE),0)</f>
        <v>174404.90900000001</v>
      </c>
      <c r="I147" s="612">
        <f>IFERROR(VLOOKUP($A147,Race_2024_Seasonal!A:X,12,FALSE),0)</f>
        <v>143277.77499999999</v>
      </c>
      <c r="J147" s="612">
        <f>IFERROR(VLOOKUP($A147,Race_2024_Seasonal!A:X,13,FALSE),0)</f>
        <v>159982.58300000001</v>
      </c>
      <c r="K147" s="612">
        <f>IFERROR(VLOOKUP($A147,Race_2024_Seasonal!A:X,14,FALSE),0)</f>
        <v>156601.601</v>
      </c>
      <c r="L147" s="612">
        <f>IFERROR(VLOOKUP($A147,Race_2024_Seasonal!A:X,15,FALSE),0)</f>
        <v>104482.069</v>
      </c>
      <c r="M147" s="612">
        <f>IFERROR(VLOOKUP($A147,Race_2024_Seasonal!A:X,16,FALSE),0)</f>
        <v>177313.00399999999</v>
      </c>
      <c r="N147" s="612">
        <f>IFERROR(VLOOKUP($A147,Race_2024_Seasonal!A:X,17,FALSE),0)</f>
        <v>163189.05799999999</v>
      </c>
      <c r="O147" s="612">
        <f>IFERROR(VLOOKUP($A147,Race_2024_Seasonal!A:X,18,FALSE),0)</f>
        <v>97617.827000000005</v>
      </c>
      <c r="Q147" s="612">
        <f>SUM(D147:O147)</f>
        <v>1776712.9139999999</v>
      </c>
      <c r="S147" s="659">
        <f>Q147-'P&amp;L'!I147</f>
        <v>0</v>
      </c>
    </row>
  </sheetData>
  <autoFilter ref="C7:Q7" xr:uid="{67A75636-6977-42F1-9840-22E76F5961A4}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15" activePane="bottomRight" state="frozen"/>
      <selection pane="topRight" activeCell="D14" sqref="D14"/>
      <selection pane="bottomLeft" activeCell="D14" sqref="D14"/>
      <selection pane="bottomRight" activeCell="N50" sqref="N50"/>
    </sheetView>
  </sheetViews>
  <sheetFormatPr defaultColWidth="9.28515625" defaultRowHeight="12.75" customHeight="1" outlineLevelRow="1" outlineLevelCol="1" x14ac:dyDescent="0.25"/>
  <cols>
    <col min="1" max="1" width="19.5703125" style="532" hidden="1" customWidth="1" outlineLevel="1"/>
    <col min="2" max="2" width="3.5703125" style="532" hidden="1" customWidth="1" outlineLevel="1"/>
    <col min="3" max="3" width="48.7109375" style="532" bestFit="1" customWidth="1" collapsed="1"/>
    <col min="4" max="15" width="20.7109375" style="532" customWidth="1"/>
    <col min="16" max="16" width="4.42578125" style="532" customWidth="1"/>
    <col min="17" max="18" width="20.7109375" style="532" customWidth="1"/>
    <col min="19" max="19" width="11.42578125" style="532" bestFit="1" customWidth="1"/>
    <col min="20" max="20" width="9.28515625" style="532" customWidth="1"/>
    <col min="21" max="16384" width="9.28515625" style="439"/>
  </cols>
  <sheetData>
    <row r="1" spans="1:20" ht="19.899999999999999" customHeight="1" x14ac:dyDescent="0.25">
      <c r="A1" s="439"/>
      <c r="B1" s="439"/>
      <c r="C1" s="60" t="str">
        <f>+'0. Instructions'!$A$1</f>
        <v>Budget 2024</v>
      </c>
      <c r="D1" s="60"/>
      <c r="E1" s="60"/>
      <c r="F1" s="459"/>
      <c r="G1" s="598"/>
      <c r="H1" s="598"/>
      <c r="I1" s="565"/>
      <c r="J1" s="597"/>
      <c r="K1" s="439"/>
      <c r="L1" s="597"/>
      <c r="M1" s="599"/>
      <c r="N1" s="439"/>
      <c r="O1" s="439"/>
      <c r="P1" s="439"/>
      <c r="Q1" s="439"/>
      <c r="R1" s="439"/>
      <c r="S1" s="439"/>
      <c r="T1" s="439"/>
    </row>
    <row r="2" spans="1:20" ht="19.899999999999999" customHeight="1" thickBot="1" x14ac:dyDescent="0.3">
      <c r="A2" s="439"/>
      <c r="B2" s="439"/>
      <c r="C2" s="55" t="s">
        <v>732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39"/>
      <c r="T2" s="439"/>
    </row>
    <row r="3" spans="1:20" ht="37.9" customHeight="1" x14ac:dyDescent="0.25">
      <c r="A3" s="534"/>
      <c r="B3" s="534"/>
      <c r="C3" s="533"/>
      <c r="D3" s="563"/>
      <c r="E3" s="563"/>
      <c r="F3" s="563"/>
      <c r="G3" s="563"/>
      <c r="H3" s="563"/>
      <c r="I3" s="533"/>
      <c r="J3" s="563"/>
      <c r="K3" s="533"/>
      <c r="L3" s="534"/>
      <c r="M3" s="542"/>
    </row>
    <row r="4" spans="1:20" ht="15" x14ac:dyDescent="0.25">
      <c r="A4" s="534"/>
      <c r="B4" s="534"/>
      <c r="C4" s="533"/>
      <c r="D4" s="563"/>
      <c r="E4" s="563"/>
      <c r="F4" s="563"/>
      <c r="G4" s="563"/>
      <c r="H4" s="563"/>
      <c r="I4" s="533"/>
      <c r="J4" s="563"/>
      <c r="L4" s="534"/>
      <c r="M4" s="542"/>
    </row>
    <row r="5" spans="1:20" ht="15" x14ac:dyDescent="0.25">
      <c r="A5" s="534"/>
      <c r="B5" s="534"/>
      <c r="C5" s="534"/>
      <c r="D5" s="534"/>
      <c r="E5" s="534"/>
      <c r="F5" s="534"/>
      <c r="G5" s="534"/>
      <c r="H5" s="534"/>
      <c r="J5" s="534"/>
      <c r="L5" s="534"/>
      <c r="M5" s="542"/>
    </row>
    <row r="6" spans="1:20" ht="30" customHeight="1" x14ac:dyDescent="0.25">
      <c r="A6" s="534"/>
      <c r="B6" s="534"/>
      <c r="C6" s="533"/>
      <c r="P6" s="562"/>
      <c r="Q6" s="561" t="s">
        <v>1088</v>
      </c>
      <c r="R6" s="561"/>
    </row>
    <row r="7" spans="1:20" ht="30" customHeight="1" x14ac:dyDescent="0.25">
      <c r="A7" s="534"/>
      <c r="B7" s="534"/>
      <c r="C7" s="559"/>
      <c r="D7" s="559" t="s">
        <v>1089</v>
      </c>
      <c r="E7" s="559" t="s">
        <v>1090</v>
      </c>
      <c r="F7" s="559" t="s">
        <v>1091</v>
      </c>
      <c r="G7" s="559" t="s">
        <v>1092</v>
      </c>
      <c r="H7" s="559" t="s">
        <v>1093</v>
      </c>
      <c r="I7" s="559" t="s">
        <v>1094</v>
      </c>
      <c r="J7" s="559" t="s">
        <v>1095</v>
      </c>
      <c r="K7" s="559" t="s">
        <v>1096</v>
      </c>
      <c r="L7" s="559" t="s">
        <v>1097</v>
      </c>
      <c r="M7" s="559" t="s">
        <v>1098</v>
      </c>
      <c r="N7" s="559" t="s">
        <v>1099</v>
      </c>
      <c r="O7" s="559" t="s">
        <v>1100</v>
      </c>
      <c r="P7" s="560"/>
      <c r="Q7" s="559" t="s">
        <v>1101</v>
      </c>
      <c r="R7" s="662"/>
      <c r="S7" s="629" t="s">
        <v>1102</v>
      </c>
    </row>
    <row r="8" spans="1:20" ht="15" x14ac:dyDescent="0.25">
      <c r="A8" s="534" t="s">
        <v>1018</v>
      </c>
      <c r="B8" s="534"/>
      <c r="C8" s="569" t="s">
        <v>659</v>
      </c>
      <c r="D8" s="583">
        <f>IFERROR(VLOOKUP($A8,Race_2024_Seasonal!A:W,6,FALSE),0)+IFERROR(VLOOKUP($A8,Race_2024_Seasonal!A:W,7,FALSE),0)</f>
        <v>2945412.1349999998</v>
      </c>
      <c r="E8" s="583">
        <f>IFERROR(VLOOKUP($A8,Race_2024_Seasonal!$A:$W,8,FALSE),0)+D8</f>
        <v>2960473.4899999998</v>
      </c>
      <c r="F8" s="583">
        <f>IFERROR(VLOOKUP($A8,Race_2024_Seasonal!$A:$W,9,FALSE),0)+E8</f>
        <v>2682597.5809999998</v>
      </c>
      <c r="G8" s="583">
        <f>IFERROR(VLOOKUP($A8,Race_2024_Seasonal!$A:$W,10,FALSE),0)+F8</f>
        <v>2430969.8969999999</v>
      </c>
      <c r="H8" s="583">
        <f>IFERROR(VLOOKUP($A8,Race_2024_Seasonal!$A:$W,11,FALSE),0)+G8</f>
        <v>2273493.858</v>
      </c>
      <c r="I8" s="583">
        <f>IFERROR(VLOOKUP($A8,Race_2024_Seasonal!$A:$W,12,FALSE),0)+H8</f>
        <v>2154522.2960000001</v>
      </c>
      <c r="J8" s="583">
        <f>IFERROR(VLOOKUP($A8,Race_2024_Seasonal!$A:$W,13,FALSE),0)+I8</f>
        <v>2009297.87</v>
      </c>
      <c r="K8" s="583">
        <f>IFERROR(VLOOKUP($A8,Race_2024_Seasonal!$A:$W,14,FALSE),0)+J8</f>
        <v>1830507.78</v>
      </c>
      <c r="L8" s="583">
        <f>IFERROR(VLOOKUP($A8,Race_2024_Seasonal!$A:$W,15,FALSE),0)+K8</f>
        <v>1533703.206</v>
      </c>
      <c r="M8" s="583">
        <f>IFERROR(VLOOKUP($A8,Race_2024_Seasonal!$A:$W,16,FALSE),0)+L8</f>
        <v>1419830.94</v>
      </c>
      <c r="N8" s="583">
        <f>IFERROR(VLOOKUP($A8,Race_2024_Seasonal!$A:$W,17,FALSE),0)+M8</f>
        <v>1406879.284</v>
      </c>
      <c r="O8" s="568">
        <f>IFERROR(VLOOKUP($A8,Race_2024_Seasonal!$A:$W,18,FALSE),0)+N8</f>
        <v>1199751.1950000001</v>
      </c>
      <c r="Q8" s="582">
        <f>O8</f>
        <v>1199751.1950000001</v>
      </c>
      <c r="R8" s="663"/>
      <c r="S8" s="630">
        <f>Q8-KeyData!H8</f>
        <v>0</v>
      </c>
      <c r="T8" s="534"/>
    </row>
    <row r="9" spans="1:20" ht="15" x14ac:dyDescent="0.25">
      <c r="A9" s="534" t="s">
        <v>1019</v>
      </c>
      <c r="B9" s="534"/>
      <c r="C9" s="567" t="s">
        <v>1020</v>
      </c>
      <c r="D9" s="566">
        <f>IFERROR(VLOOKUP($A9,Race_2024_Seasonal!A:W,6,FALSE),0)+IFERROR(VLOOKUP($A9,Race_2024_Seasonal!A:W,7,FALSE),0)</f>
        <v>310350.94500000001</v>
      </c>
      <c r="E9" s="566">
        <f>IFERROR(VLOOKUP($A9,Race_2024_Seasonal!$A:$W,8,FALSE),0)+D9</f>
        <v>327981.38</v>
      </c>
      <c r="F9" s="566">
        <f>IFERROR(VLOOKUP($A9,Race_2024_Seasonal!$A:$W,9,FALSE),0)+E9</f>
        <v>304574.97700000001</v>
      </c>
      <c r="G9" s="566">
        <f>IFERROR(VLOOKUP($A9,Race_2024_Seasonal!$A:$W,10,FALSE),0)+F9</f>
        <v>285129.82400000002</v>
      </c>
      <c r="H9" s="566">
        <f>IFERROR(VLOOKUP($A9,Race_2024_Seasonal!$A:$W,11,FALSE),0)+G9</f>
        <v>279012.73300000001</v>
      </c>
      <c r="I9" s="566">
        <f>IFERROR(VLOOKUP($A9,Race_2024_Seasonal!$A:$W,12,FALSE),0)+H9</f>
        <v>265309.40000000002</v>
      </c>
      <c r="J9" s="566">
        <f>IFERROR(VLOOKUP($A9,Race_2024_Seasonal!$A:$W,13,FALSE),0)+I9</f>
        <v>246413.03800000003</v>
      </c>
      <c r="K9" s="566">
        <f>IFERROR(VLOOKUP($A9,Race_2024_Seasonal!$A:$W,14,FALSE),0)+J9</f>
        <v>239246.30300000004</v>
      </c>
      <c r="L9" s="566">
        <f>IFERROR(VLOOKUP($A9,Race_2024_Seasonal!$A:$W,15,FALSE),0)+K9</f>
        <v>222686.79400000005</v>
      </c>
      <c r="M9" s="566">
        <f>IFERROR(VLOOKUP($A9,Race_2024_Seasonal!$A:$W,16,FALSE),0)+L9</f>
        <v>223824.34000000005</v>
      </c>
      <c r="N9" s="566">
        <f>IFERROR(VLOOKUP($A9,Race_2024_Seasonal!$A:$W,17,FALSE),0)+M9</f>
        <v>205417.37500000006</v>
      </c>
      <c r="O9" s="577">
        <f>IFERROR(VLOOKUP($A9,Race_2024_Seasonal!$A:$W,18,FALSE),0)+N9</f>
        <v>189978.14500000005</v>
      </c>
      <c r="Q9" s="575">
        <f t="shared" ref="Q9:Q12" si="0">O9</f>
        <v>189978.14500000005</v>
      </c>
      <c r="R9" s="660"/>
      <c r="S9" s="630">
        <f>Q9-KeyData!H9</f>
        <v>0</v>
      </c>
      <c r="T9" s="534"/>
    </row>
    <row r="10" spans="1:20" ht="15" x14ac:dyDescent="0.25">
      <c r="A10" s="534" t="s">
        <v>1021</v>
      </c>
      <c r="B10" s="534"/>
      <c r="C10" s="567" t="s">
        <v>1022</v>
      </c>
      <c r="D10" s="566">
        <f>IFERROR(VLOOKUP($A10,Race_2024_Seasonal!A:W,6,FALSE),0)+IFERROR(VLOOKUP($A10,Race_2024_Seasonal!A:W,7,FALSE),0)</f>
        <v>114211.19</v>
      </c>
      <c r="E10" s="566">
        <f>IFERROR(VLOOKUP($A10,Race_2024_Seasonal!$A:$W,8,FALSE),0)+D10</f>
        <v>171318.11</v>
      </c>
      <c r="F10" s="566">
        <f>IFERROR(VLOOKUP($A10,Race_2024_Seasonal!$A:$W,9,FALSE),0)+E10</f>
        <v>138933.60399999999</v>
      </c>
      <c r="G10" s="566">
        <f>IFERROR(VLOOKUP($A10,Race_2024_Seasonal!$A:$W,10,FALSE),0)+F10</f>
        <v>114212.07299999999</v>
      </c>
      <c r="H10" s="566">
        <f>IFERROR(VLOOKUP($A10,Race_2024_Seasonal!$A:$W,11,FALSE),0)+G10</f>
        <v>117280.12499999999</v>
      </c>
      <c r="I10" s="566">
        <f>IFERROR(VLOOKUP($A10,Race_2024_Seasonal!$A:$W,12,FALSE),0)+H10</f>
        <v>136195.89599999998</v>
      </c>
      <c r="J10" s="566">
        <f>IFERROR(VLOOKUP($A10,Race_2024_Seasonal!$A:$W,13,FALSE),0)+I10</f>
        <v>147870.83199999997</v>
      </c>
      <c r="K10" s="566">
        <f>IFERROR(VLOOKUP($A10,Race_2024_Seasonal!$A:$W,14,FALSE),0)+J10</f>
        <v>143971.47699999996</v>
      </c>
      <c r="L10" s="566">
        <f>IFERROR(VLOOKUP($A10,Race_2024_Seasonal!$A:$W,15,FALSE),0)+K10</f>
        <v>102724.41199999995</v>
      </c>
      <c r="M10" s="566">
        <f>IFERROR(VLOOKUP($A10,Race_2024_Seasonal!$A:$W,16,FALSE),0)+L10</f>
        <v>118290.59999999995</v>
      </c>
      <c r="N10" s="566">
        <f>IFERROR(VLOOKUP($A10,Race_2024_Seasonal!$A:$W,17,FALSE),0)+M10</f>
        <v>143968.90899999996</v>
      </c>
      <c r="O10" s="577">
        <f>IFERROR(VLOOKUP($A10,Race_2024_Seasonal!$A:$W,18,FALSE),0)+N10</f>
        <v>99610.049999999959</v>
      </c>
      <c r="Q10" s="575">
        <f t="shared" si="0"/>
        <v>99610.049999999959</v>
      </c>
      <c r="R10" s="660"/>
      <c r="S10" s="630">
        <f>Q10-KeyData!H10</f>
        <v>0</v>
      </c>
      <c r="T10" s="534"/>
    </row>
    <row r="11" spans="1:20" ht="15" x14ac:dyDescent="0.25">
      <c r="A11" s="534" t="s">
        <v>1023</v>
      </c>
      <c r="B11" s="534"/>
      <c r="C11" s="567" t="s">
        <v>1024</v>
      </c>
      <c r="D11" s="566">
        <f>IFERROR(VLOOKUP($A11,Race_2024_Seasonal!A:W,6,FALSE),0)+IFERROR(VLOOKUP($A11,Race_2024_Seasonal!A:W,7,FALSE),0)</f>
        <v>0</v>
      </c>
      <c r="E11" s="566">
        <f>IFERROR(VLOOKUP($A11,Race_2024_Seasonal!$A:$W,8,FALSE),0)+D11</f>
        <v>0</v>
      </c>
      <c r="F11" s="566">
        <f>IFERROR(VLOOKUP($A11,Race_2024_Seasonal!$A:$W,9,FALSE),0)+E11</f>
        <v>0</v>
      </c>
      <c r="G11" s="566">
        <f>IFERROR(VLOOKUP($A11,Race_2024_Seasonal!$A:$W,10,FALSE),0)+F11</f>
        <v>0</v>
      </c>
      <c r="H11" s="566">
        <f>IFERROR(VLOOKUP($A11,Race_2024_Seasonal!$A:$W,11,FALSE),0)+G11</f>
        <v>0</v>
      </c>
      <c r="I11" s="566">
        <f>IFERROR(VLOOKUP($A11,Race_2024_Seasonal!$A:$W,12,FALSE),0)+H11</f>
        <v>0</v>
      </c>
      <c r="J11" s="566">
        <f>IFERROR(VLOOKUP($A11,Race_2024_Seasonal!$A:$W,13,FALSE),0)+I11</f>
        <v>0</v>
      </c>
      <c r="K11" s="566">
        <f>IFERROR(VLOOKUP($A11,Race_2024_Seasonal!$A:$W,14,FALSE),0)+J11</f>
        <v>0</v>
      </c>
      <c r="L11" s="566">
        <f>IFERROR(VLOOKUP($A11,Race_2024_Seasonal!$A:$W,15,FALSE),0)+K11</f>
        <v>0</v>
      </c>
      <c r="M11" s="566">
        <f>IFERROR(VLOOKUP($A11,Race_2024_Seasonal!$A:$W,16,FALSE),0)+L11</f>
        <v>0</v>
      </c>
      <c r="N11" s="566">
        <f>IFERROR(VLOOKUP($A11,Race_2024_Seasonal!$A:$W,17,FALSE),0)+M11</f>
        <v>0</v>
      </c>
      <c r="O11" s="577">
        <f>IFERROR(VLOOKUP($A11,Race_2024_Seasonal!$A:$W,18,FALSE),0)+N11</f>
        <v>0</v>
      </c>
      <c r="Q11" s="575">
        <f t="shared" si="0"/>
        <v>0</v>
      </c>
      <c r="R11" s="660"/>
      <c r="S11" s="630">
        <f>Q11-KeyData!H11</f>
        <v>0</v>
      </c>
      <c r="T11" s="534"/>
    </row>
    <row r="12" spans="1:20" ht="15" x14ac:dyDescent="0.25">
      <c r="A12" s="534" t="s">
        <v>1025</v>
      </c>
      <c r="B12" s="534"/>
      <c r="C12" s="596" t="s">
        <v>1026</v>
      </c>
      <c r="D12" s="573">
        <f>IFERROR(VLOOKUP($A12,Race_2024_Seasonal!A:W,6,FALSE),0)+IFERROR(VLOOKUP($A12,Race_2024_Seasonal!A:W,7,FALSE),0)</f>
        <v>2520850</v>
      </c>
      <c r="E12" s="573">
        <f>IFERROR(VLOOKUP($A12,Race_2024_Seasonal!$A:$W,8,FALSE),0)+D12</f>
        <v>2461174</v>
      </c>
      <c r="F12" s="573">
        <f>IFERROR(VLOOKUP($A12,Race_2024_Seasonal!$A:$W,9,FALSE),0)+E12</f>
        <v>2239089</v>
      </c>
      <c r="G12" s="573">
        <f>IFERROR(VLOOKUP($A12,Race_2024_Seasonal!$A:$W,10,FALSE),0)+F12</f>
        <v>2031628</v>
      </c>
      <c r="H12" s="573">
        <f>IFERROR(VLOOKUP($A12,Race_2024_Seasonal!$A:$W,11,FALSE),0)+G12</f>
        <v>1877201</v>
      </c>
      <c r="I12" s="573">
        <f>IFERROR(VLOOKUP($A12,Race_2024_Seasonal!$A:$W,12,FALSE),0)+H12</f>
        <v>1753017</v>
      </c>
      <c r="J12" s="573">
        <f>IFERROR(VLOOKUP($A12,Race_2024_Seasonal!$A:$W,13,FALSE),0)+I12</f>
        <v>1615014</v>
      </c>
      <c r="K12" s="573">
        <f>IFERROR(VLOOKUP($A12,Race_2024_Seasonal!$A:$W,14,FALSE),0)+J12</f>
        <v>1447290</v>
      </c>
      <c r="L12" s="573">
        <f>IFERROR(VLOOKUP($A12,Race_2024_Seasonal!$A:$W,15,FALSE),0)+K12</f>
        <v>1208292</v>
      </c>
      <c r="M12" s="573">
        <f>IFERROR(VLOOKUP($A12,Race_2024_Seasonal!$A:$W,16,FALSE),0)+L12</f>
        <v>1077716</v>
      </c>
      <c r="N12" s="573">
        <f>IFERROR(VLOOKUP($A12,Race_2024_Seasonal!$A:$W,17,FALSE),0)+M12</f>
        <v>1057493</v>
      </c>
      <c r="O12" s="572">
        <f>IFERROR(VLOOKUP($A12,Race_2024_Seasonal!$A:$W,18,FALSE),0)+N12</f>
        <v>910163</v>
      </c>
      <c r="Q12" s="571">
        <f t="shared" si="0"/>
        <v>910163</v>
      </c>
      <c r="R12" s="660"/>
      <c r="S12" s="630">
        <f>Q12-KeyData!H12</f>
        <v>0</v>
      </c>
      <c r="T12" s="595"/>
    </row>
    <row r="13" spans="1:20" ht="15" x14ac:dyDescent="0.25">
      <c r="A13" s="534"/>
      <c r="B13" s="534"/>
      <c r="C13" s="542"/>
      <c r="D13" s="542"/>
      <c r="E13" s="542"/>
      <c r="F13" s="542"/>
      <c r="G13" s="542"/>
      <c r="H13" s="542"/>
      <c r="I13" s="542"/>
      <c r="J13" s="542"/>
      <c r="K13" s="542"/>
      <c r="L13" s="542"/>
      <c r="M13" s="542"/>
      <c r="N13" s="542"/>
      <c r="O13" s="542"/>
      <c r="Q13" s="542"/>
      <c r="R13" s="542"/>
      <c r="S13" s="630">
        <f>Q13-KeyData!H13</f>
        <v>0</v>
      </c>
    </row>
    <row r="14" spans="1:20" ht="15" x14ac:dyDescent="0.25">
      <c r="A14" s="534" t="s">
        <v>1027</v>
      </c>
      <c r="B14" s="534"/>
      <c r="C14" s="569" t="s">
        <v>1028</v>
      </c>
      <c r="D14" s="594">
        <f>IFERROR(VLOOKUP($A14,Race_2024_Seasonal!A:W,6,FALSE),0)+IFERROR(VLOOKUP($A14,Race_2024_Seasonal!A:W,7,FALSE),0)</f>
        <v>3764489.145</v>
      </c>
      <c r="E14" s="594">
        <f>IFERROR(VLOOKUP($A14,Race_2024_Seasonal!$A:$W,8,FALSE),0)+D14</f>
        <v>3752295.0359999998</v>
      </c>
      <c r="F14" s="594">
        <f>IFERROR(VLOOKUP($A14,Race_2024_Seasonal!$A:$W,9,FALSE),0)+E14</f>
        <v>3886240.7209999999</v>
      </c>
      <c r="G14" s="594">
        <f>IFERROR(VLOOKUP($A14,Race_2024_Seasonal!$A:$W,10,FALSE),0)+F14</f>
        <v>3663936.8190000001</v>
      </c>
      <c r="H14" s="594">
        <f>IFERROR(VLOOKUP($A14,Race_2024_Seasonal!$A:$W,11,FALSE),0)+G14</f>
        <v>3647013.3260000004</v>
      </c>
      <c r="I14" s="594">
        <f>IFERROR(VLOOKUP($A14,Race_2024_Seasonal!$A:$W,12,FALSE),0)+H14</f>
        <v>3574073.2420000006</v>
      </c>
      <c r="J14" s="594">
        <f>IFERROR(VLOOKUP($A14,Race_2024_Seasonal!$A:$W,13,FALSE),0)+I14</f>
        <v>3633755.2190000005</v>
      </c>
      <c r="K14" s="594">
        <f>IFERROR(VLOOKUP($A14,Race_2024_Seasonal!$A:$W,14,FALSE),0)+J14</f>
        <v>3614976.2460000003</v>
      </c>
      <c r="L14" s="594">
        <f>IFERROR(VLOOKUP($A14,Race_2024_Seasonal!$A:$W,15,FALSE),0)+K14</f>
        <v>3461580.4250000003</v>
      </c>
      <c r="M14" s="594">
        <f>IFERROR(VLOOKUP($A14,Race_2024_Seasonal!$A:$W,16,FALSE),0)+L14</f>
        <v>3571984.2620000001</v>
      </c>
      <c r="N14" s="594">
        <f>IFERROR(VLOOKUP($A14,Race_2024_Seasonal!$A:$W,17,FALSE),0)+M14</f>
        <v>3638934.5559999999</v>
      </c>
      <c r="O14" s="593">
        <f>IFERROR(VLOOKUP($A14,Race_2024_Seasonal!$A:$W,18,FALSE),0)+N14</f>
        <v>3389678.0019999999</v>
      </c>
      <c r="Q14" s="592">
        <f t="shared" ref="Q14:Q15" si="1">O14</f>
        <v>3389678.0019999999</v>
      </c>
      <c r="R14" s="660"/>
      <c r="S14" s="630">
        <f>Q14-KeyData!H14</f>
        <v>0</v>
      </c>
    </row>
    <row r="15" spans="1:20" ht="15" outlineLevel="1" x14ac:dyDescent="0.25">
      <c r="A15" s="534"/>
      <c r="B15" s="534"/>
      <c r="C15" s="620"/>
      <c r="D15" s="621"/>
      <c r="E15" s="621"/>
      <c r="F15" s="621"/>
      <c r="G15" s="621"/>
      <c r="H15" s="621"/>
      <c r="I15" s="621"/>
      <c r="J15" s="621"/>
      <c r="K15" s="621"/>
      <c r="L15" s="621"/>
      <c r="M15" s="621"/>
      <c r="N15" s="621"/>
      <c r="O15" s="622"/>
      <c r="Q15" s="628">
        <f t="shared" si="1"/>
        <v>0</v>
      </c>
      <c r="R15" s="660"/>
      <c r="S15" s="630">
        <f>Q15-KeyData!H15</f>
        <v>0</v>
      </c>
    </row>
    <row r="16" spans="1:20" ht="15" outlineLevel="1" x14ac:dyDescent="0.25">
      <c r="A16" s="534"/>
      <c r="B16" s="534"/>
      <c r="C16" s="542"/>
      <c r="D16" s="542"/>
      <c r="E16" s="542"/>
      <c r="F16" s="542"/>
      <c r="G16" s="542"/>
      <c r="H16" s="542"/>
      <c r="I16" s="542"/>
      <c r="J16" s="542"/>
      <c r="K16" s="542"/>
      <c r="L16" s="542"/>
      <c r="M16" s="542"/>
      <c r="N16" s="542"/>
      <c r="O16" s="542"/>
      <c r="Q16" s="542"/>
      <c r="R16" s="542"/>
      <c r="S16" s="630">
        <f>Q16-KeyData!H16</f>
        <v>0</v>
      </c>
    </row>
    <row r="17" spans="1:19" ht="15" outlineLevel="1" x14ac:dyDescent="0.25">
      <c r="A17" s="534" t="s">
        <v>1029</v>
      </c>
      <c r="B17" s="534"/>
      <c r="C17" s="569" t="s">
        <v>1030</v>
      </c>
      <c r="D17" s="594">
        <f>IFERROR(VLOOKUP($A17,Race_2024_Seasonal!A:W,6,FALSE),0)+IFERROR(VLOOKUP($A17,Race_2024_Seasonal!A:W,7,FALSE),0)</f>
        <v>2083829.2349999999</v>
      </c>
      <c r="E17" s="594">
        <f>IFERROR(VLOOKUP($A17,Race_2024_Seasonal!$A:$W,8,FALSE),0)+D17</f>
        <v>2255250.6599999997</v>
      </c>
      <c r="F17" s="594">
        <f>IFERROR(VLOOKUP($A17,Race_2024_Seasonal!$A:$W,9,FALSE),0)+E17</f>
        <v>2592590.2669999995</v>
      </c>
      <c r="G17" s="594">
        <f>IFERROR(VLOOKUP($A17,Race_2024_Seasonal!$A:$W,10,FALSE),0)+F17</f>
        <v>2700968.1899999995</v>
      </c>
      <c r="H17" s="594">
        <f>IFERROR(VLOOKUP($A17,Race_2024_Seasonal!$A:$W,11,FALSE),0)+G17</f>
        <v>2670121.3189999997</v>
      </c>
      <c r="I17" s="594">
        <f>IFERROR(VLOOKUP($A17,Race_2024_Seasonal!$A:$W,12,FALSE),0)+H17</f>
        <v>2650427.9899999998</v>
      </c>
      <c r="J17" s="594">
        <f>IFERROR(VLOOKUP($A17,Race_2024_Seasonal!$A:$W,13,FALSE),0)+I17</f>
        <v>2666298.61</v>
      </c>
      <c r="K17" s="594">
        <f>IFERROR(VLOOKUP($A17,Race_2024_Seasonal!$A:$W,14,FALSE),0)+J17</f>
        <v>2987168.4</v>
      </c>
      <c r="L17" s="594">
        <f>IFERROR(VLOOKUP($A17,Race_2024_Seasonal!$A:$W,15,FALSE),0)+K17</f>
        <v>3037535.9440000001</v>
      </c>
      <c r="M17" s="594">
        <f>IFERROR(VLOOKUP($A17,Race_2024_Seasonal!$A:$W,16,FALSE),0)+L17</f>
        <v>3076927.9050000003</v>
      </c>
      <c r="N17" s="594">
        <f>IFERROR(VLOOKUP($A17,Race_2024_Seasonal!$A:$W,17,FALSE),0)+M17</f>
        <v>3015676.0960000004</v>
      </c>
      <c r="O17" s="593">
        <f>IFERROR(VLOOKUP($A17,Race_2024_Seasonal!$A:$W,18,FALSE),0)+N17</f>
        <v>2579924.8140000002</v>
      </c>
      <c r="Q17" s="592">
        <f t="shared" ref="Q17:Q19" si="2">O17</f>
        <v>2579924.8140000002</v>
      </c>
      <c r="R17" s="660"/>
      <c r="S17" s="630">
        <f>Q17-KeyData!H17</f>
        <v>0</v>
      </c>
    </row>
    <row r="18" spans="1:19" ht="15" x14ac:dyDescent="0.25">
      <c r="A18" s="534"/>
      <c r="B18" s="534"/>
      <c r="C18" s="623"/>
      <c r="D18" s="624"/>
      <c r="E18" s="624"/>
      <c r="F18" s="624"/>
      <c r="G18" s="624"/>
      <c r="H18" s="624"/>
      <c r="I18" s="624"/>
      <c r="J18" s="624"/>
      <c r="K18" s="624"/>
      <c r="L18" s="624"/>
      <c r="M18" s="624"/>
      <c r="N18" s="624"/>
      <c r="O18" s="625"/>
      <c r="Q18" s="627">
        <f t="shared" si="2"/>
        <v>0</v>
      </c>
      <c r="R18" s="660"/>
      <c r="S18" s="630">
        <f>Q18-KeyData!H18</f>
        <v>0</v>
      </c>
    </row>
    <row r="19" spans="1:19" ht="15" x14ac:dyDescent="0.25">
      <c r="A19" s="534"/>
      <c r="B19" s="534"/>
      <c r="C19" s="591" t="s">
        <v>658</v>
      </c>
      <c r="D19" s="590">
        <f>D8+D14-D17</f>
        <v>4626072.0449999999</v>
      </c>
      <c r="E19" s="590">
        <f t="shared" ref="E19:O19" si="3">E8+E14-E17</f>
        <v>4457517.8660000004</v>
      </c>
      <c r="F19" s="590">
        <f t="shared" si="3"/>
        <v>3976248.0349999997</v>
      </c>
      <c r="G19" s="590">
        <f t="shared" si="3"/>
        <v>3393938.5260000005</v>
      </c>
      <c r="H19" s="590">
        <f t="shared" si="3"/>
        <v>3250385.8650000007</v>
      </c>
      <c r="I19" s="590">
        <f t="shared" si="3"/>
        <v>3078167.5480000009</v>
      </c>
      <c r="J19" s="590">
        <f t="shared" si="3"/>
        <v>2976754.4790000007</v>
      </c>
      <c r="K19" s="590">
        <f t="shared" si="3"/>
        <v>2458315.6260000006</v>
      </c>
      <c r="L19" s="590">
        <f t="shared" si="3"/>
        <v>1957747.6869999999</v>
      </c>
      <c r="M19" s="590">
        <f t="shared" si="3"/>
        <v>1914887.2969999993</v>
      </c>
      <c r="N19" s="590">
        <f t="shared" si="3"/>
        <v>2030137.7439999995</v>
      </c>
      <c r="O19" s="590">
        <f t="shared" si="3"/>
        <v>2009504.3829999994</v>
      </c>
      <c r="Q19" s="587">
        <f t="shared" si="2"/>
        <v>2009504.3829999994</v>
      </c>
      <c r="R19" s="660"/>
      <c r="S19" s="630">
        <f>Q19-KeyData!H19</f>
        <v>0</v>
      </c>
    </row>
    <row r="20" spans="1:19" ht="15" x14ac:dyDescent="0.25">
      <c r="A20" s="534"/>
      <c r="B20" s="534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Q20" s="580"/>
      <c r="R20" s="580"/>
      <c r="S20" s="630">
        <f>Q20-KeyData!H20</f>
        <v>0</v>
      </c>
    </row>
    <row r="21" spans="1:19" ht="15" outlineLevel="1" x14ac:dyDescent="0.25">
      <c r="A21" s="534"/>
      <c r="B21" s="534"/>
      <c r="C21" s="569" t="s">
        <v>1031</v>
      </c>
      <c r="D21" s="583">
        <f t="shared" ref="D21:O21" si="4">SUM(D22:D23)</f>
        <v>31</v>
      </c>
      <c r="E21" s="583">
        <f t="shared" si="4"/>
        <v>31</v>
      </c>
      <c r="F21" s="583">
        <f t="shared" si="4"/>
        <v>31</v>
      </c>
      <c r="G21" s="583">
        <f t="shared" si="4"/>
        <v>31</v>
      </c>
      <c r="H21" s="583">
        <f t="shared" si="4"/>
        <v>31</v>
      </c>
      <c r="I21" s="583">
        <f t="shared" si="4"/>
        <v>31</v>
      </c>
      <c r="J21" s="583">
        <f t="shared" si="4"/>
        <v>31</v>
      </c>
      <c r="K21" s="583">
        <f t="shared" si="4"/>
        <v>31</v>
      </c>
      <c r="L21" s="583">
        <f t="shared" si="4"/>
        <v>31</v>
      </c>
      <c r="M21" s="583">
        <f t="shared" si="4"/>
        <v>31</v>
      </c>
      <c r="N21" s="583">
        <f t="shared" si="4"/>
        <v>31</v>
      </c>
      <c r="O21" s="568">
        <f t="shared" si="4"/>
        <v>31</v>
      </c>
      <c r="Q21" s="582">
        <f>O21</f>
        <v>31</v>
      </c>
      <c r="R21" s="663"/>
      <c r="S21" s="630">
        <f>Q21-KeyData!H21</f>
        <v>0</v>
      </c>
    </row>
    <row r="22" spans="1:19" ht="15" outlineLevel="1" x14ac:dyDescent="0.25">
      <c r="A22" s="532" t="s">
        <v>1032</v>
      </c>
      <c r="C22" s="579" t="s">
        <v>1033</v>
      </c>
      <c r="D22" s="566">
        <f>IFERROR(VLOOKUP($A22,Race_2024_Seasonal!$A:$W,7,FALSE),0)</f>
        <v>26</v>
      </c>
      <c r="E22" s="566">
        <f>IFERROR(VLOOKUP($A22,Race_2024_Seasonal!$A:$W,7,FALSE),0)</f>
        <v>26</v>
      </c>
      <c r="F22" s="566">
        <f>IFERROR(VLOOKUP($A22,Race_2024_Seasonal!$A:$W,7,FALSE),0)</f>
        <v>26</v>
      </c>
      <c r="G22" s="566">
        <f>IFERROR(VLOOKUP($A22,Race_2024_Seasonal!$A:$W,7,FALSE),0)</f>
        <v>26</v>
      </c>
      <c r="H22" s="566">
        <f>IFERROR(VLOOKUP($A22,Race_2024_Seasonal!$A:$W,7,FALSE),0)</f>
        <v>26</v>
      </c>
      <c r="I22" s="566">
        <f>IFERROR(VLOOKUP($A22,Race_2024_Seasonal!$A:$W,7,FALSE),0)</f>
        <v>26</v>
      </c>
      <c r="J22" s="566">
        <f>IFERROR(VLOOKUP($A22,Race_2024_Seasonal!$A:$W,7,FALSE),0)</f>
        <v>26</v>
      </c>
      <c r="K22" s="566">
        <f>IFERROR(VLOOKUP($A22,Race_2024_Seasonal!$A:$W,7,FALSE),0)</f>
        <v>26</v>
      </c>
      <c r="L22" s="566">
        <f>IFERROR(VLOOKUP($A22,Race_2024_Seasonal!$A:$W,7,FALSE),0)</f>
        <v>26</v>
      </c>
      <c r="M22" s="566">
        <f>IFERROR(VLOOKUP($A22,Race_2024_Seasonal!$A:$W,7,FALSE),0)</f>
        <v>26</v>
      </c>
      <c r="N22" s="566">
        <f>IFERROR(VLOOKUP($A22,Race_2024_Seasonal!$A:$W,7,FALSE),0)</f>
        <v>26</v>
      </c>
      <c r="O22" s="577">
        <f>IFERROR(VLOOKUP($A22,Race_2024_Seasonal!$A:$W,7,FALSE),0)</f>
        <v>26</v>
      </c>
      <c r="Q22" s="575">
        <f t="shared" ref="Q22:Q30" si="5">O22</f>
        <v>26</v>
      </c>
      <c r="R22" s="660"/>
      <c r="S22" s="630">
        <f>Q22-KeyData!H22</f>
        <v>0</v>
      </c>
    </row>
    <row r="23" spans="1:19" ht="15" outlineLevel="1" x14ac:dyDescent="0.25">
      <c r="A23" s="534" t="s">
        <v>1034</v>
      </c>
      <c r="B23" s="534"/>
      <c r="C23" s="579" t="s">
        <v>1035</v>
      </c>
      <c r="D23" s="566">
        <f>IFERROR(VLOOKUP($A23,Race_2024_Seasonal!$A:$W,7,FALSE),0)</f>
        <v>5</v>
      </c>
      <c r="E23" s="566">
        <f>IFERROR(VLOOKUP($A23,Race_2024_Seasonal!$A:$W,7,FALSE),0)</f>
        <v>5</v>
      </c>
      <c r="F23" s="566">
        <f>IFERROR(VLOOKUP($A23,Race_2024_Seasonal!$A:$W,7,FALSE),0)</f>
        <v>5</v>
      </c>
      <c r="G23" s="566">
        <f>IFERROR(VLOOKUP($A23,Race_2024_Seasonal!$A:$W,7,FALSE),0)</f>
        <v>5</v>
      </c>
      <c r="H23" s="566">
        <f>IFERROR(VLOOKUP($A23,Race_2024_Seasonal!$A:$W,7,FALSE),0)</f>
        <v>5</v>
      </c>
      <c r="I23" s="566">
        <f>IFERROR(VLOOKUP($A23,Race_2024_Seasonal!$A:$W,7,FALSE),0)</f>
        <v>5</v>
      </c>
      <c r="J23" s="566">
        <f>IFERROR(VLOOKUP($A23,Race_2024_Seasonal!$A:$W,7,FALSE),0)</f>
        <v>5</v>
      </c>
      <c r="K23" s="566">
        <f>IFERROR(VLOOKUP($A23,Race_2024_Seasonal!$A:$W,7,FALSE),0)</f>
        <v>5</v>
      </c>
      <c r="L23" s="566">
        <f>IFERROR(VLOOKUP($A23,Race_2024_Seasonal!$A:$W,7,FALSE),0)</f>
        <v>5</v>
      </c>
      <c r="M23" s="566">
        <f>IFERROR(VLOOKUP($A23,Race_2024_Seasonal!$A:$W,7,FALSE),0)</f>
        <v>5</v>
      </c>
      <c r="N23" s="566">
        <f>IFERROR(VLOOKUP($A23,Race_2024_Seasonal!$A:$W,7,FALSE),0)</f>
        <v>5</v>
      </c>
      <c r="O23" s="577">
        <f>IFERROR(VLOOKUP($A23,Race_2024_Seasonal!$A:$W,7,FALSE),0)</f>
        <v>5</v>
      </c>
      <c r="Q23" s="575">
        <f t="shared" si="5"/>
        <v>5</v>
      </c>
      <c r="R23" s="660"/>
      <c r="S23" s="630">
        <f>Q23-KeyData!H23</f>
        <v>0</v>
      </c>
    </row>
    <row r="24" spans="1:19" ht="15" x14ac:dyDescent="0.25">
      <c r="A24" s="534" t="s">
        <v>1036</v>
      </c>
      <c r="B24" s="534"/>
      <c r="C24" s="579" t="s">
        <v>1037</v>
      </c>
      <c r="D24" s="566">
        <f>IFERROR(VLOOKUP($A24,Race_2024_Seasonal!$A:$W,7,FALSE),0)</f>
        <v>0</v>
      </c>
      <c r="E24" s="566">
        <f>IFERROR(VLOOKUP($A24,Race_2024_Seasonal!$A:$W,7,FALSE),0)</f>
        <v>0</v>
      </c>
      <c r="F24" s="566">
        <f>IFERROR(VLOOKUP($A24,Race_2024_Seasonal!$A:$W,7,FALSE),0)</f>
        <v>0</v>
      </c>
      <c r="G24" s="566">
        <f>IFERROR(VLOOKUP($A24,Race_2024_Seasonal!$A:$W,7,FALSE),0)</f>
        <v>0</v>
      </c>
      <c r="H24" s="566">
        <f>IFERROR(VLOOKUP($A24,Race_2024_Seasonal!$A:$W,7,FALSE),0)</f>
        <v>0</v>
      </c>
      <c r="I24" s="566">
        <f>IFERROR(VLOOKUP($A24,Race_2024_Seasonal!$A:$W,7,FALSE),0)</f>
        <v>0</v>
      </c>
      <c r="J24" s="566">
        <f>IFERROR(VLOOKUP($A24,Race_2024_Seasonal!$A:$W,7,FALSE),0)</f>
        <v>0</v>
      </c>
      <c r="K24" s="566">
        <f>IFERROR(VLOOKUP($A24,Race_2024_Seasonal!$A:$W,7,FALSE),0)</f>
        <v>0</v>
      </c>
      <c r="L24" s="566">
        <f>IFERROR(VLOOKUP($A24,Race_2024_Seasonal!$A:$W,7,FALSE),0)</f>
        <v>0</v>
      </c>
      <c r="M24" s="566">
        <f>IFERROR(VLOOKUP($A24,Race_2024_Seasonal!$A:$W,7,FALSE),0)</f>
        <v>0</v>
      </c>
      <c r="N24" s="566">
        <f>IFERROR(VLOOKUP($A24,Race_2024_Seasonal!$A:$W,7,FALSE),0)</f>
        <v>0</v>
      </c>
      <c r="O24" s="577">
        <f>IFERROR(VLOOKUP($A24,Race_2024_Seasonal!$A:$W,7,FALSE),0)</f>
        <v>0</v>
      </c>
      <c r="Q24" s="575">
        <f t="shared" si="5"/>
        <v>0</v>
      </c>
      <c r="R24" s="660"/>
      <c r="S24" s="630">
        <f>Q24-KeyData!H24</f>
        <v>0</v>
      </c>
    </row>
    <row r="25" spans="1:19" ht="15" x14ac:dyDescent="0.25">
      <c r="A25" s="534" t="s">
        <v>1038</v>
      </c>
      <c r="B25" s="534"/>
      <c r="C25" s="579" t="s">
        <v>1039</v>
      </c>
      <c r="D25" s="566">
        <f>IFERROR(VLOOKUP($A25,Race_2024_Seasonal!$A:$W,7,FALSE),0)</f>
        <v>0</v>
      </c>
      <c r="E25" s="566">
        <f>IFERROR(VLOOKUP($A25,Race_2024_Seasonal!$A:$W,7,FALSE),0)</f>
        <v>0</v>
      </c>
      <c r="F25" s="566">
        <f>IFERROR(VLOOKUP($A25,Race_2024_Seasonal!$A:$W,7,FALSE),0)</f>
        <v>0</v>
      </c>
      <c r="G25" s="566">
        <f>IFERROR(VLOOKUP($A25,Race_2024_Seasonal!$A:$W,7,FALSE),0)</f>
        <v>0</v>
      </c>
      <c r="H25" s="566">
        <f>IFERROR(VLOOKUP($A25,Race_2024_Seasonal!$A:$W,7,FALSE),0)</f>
        <v>0</v>
      </c>
      <c r="I25" s="566">
        <f>IFERROR(VLOOKUP($A25,Race_2024_Seasonal!$A:$W,7,FALSE),0)</f>
        <v>0</v>
      </c>
      <c r="J25" s="566">
        <f>IFERROR(VLOOKUP($A25,Race_2024_Seasonal!$A:$W,7,FALSE),0)</f>
        <v>0</v>
      </c>
      <c r="K25" s="566">
        <f>IFERROR(VLOOKUP($A25,Race_2024_Seasonal!$A:$W,7,FALSE),0)</f>
        <v>0</v>
      </c>
      <c r="L25" s="566">
        <f>IFERROR(VLOOKUP($A25,Race_2024_Seasonal!$A:$W,7,FALSE),0)</f>
        <v>0</v>
      </c>
      <c r="M25" s="566">
        <f>IFERROR(VLOOKUP($A25,Race_2024_Seasonal!$A:$W,7,FALSE),0)</f>
        <v>0</v>
      </c>
      <c r="N25" s="566">
        <f>IFERROR(VLOOKUP($A25,Race_2024_Seasonal!$A:$W,7,FALSE),0)</f>
        <v>0</v>
      </c>
      <c r="O25" s="577">
        <f>IFERROR(VLOOKUP($A25,Race_2024_Seasonal!$A:$W,7,FALSE),0)</f>
        <v>0</v>
      </c>
      <c r="Q25" s="575">
        <f t="shared" si="5"/>
        <v>0</v>
      </c>
      <c r="R25" s="660"/>
      <c r="S25" s="630">
        <f>Q25-KeyData!H25</f>
        <v>0</v>
      </c>
    </row>
    <row r="26" spans="1:19" ht="15" x14ac:dyDescent="0.25">
      <c r="A26" s="534" t="s">
        <v>1040</v>
      </c>
      <c r="B26" s="534"/>
      <c r="C26" s="579" t="s">
        <v>1041</v>
      </c>
      <c r="D26" s="566">
        <f>IFERROR(VLOOKUP($A26,Race_2024_Seasonal!$A:$W,7,FALSE),0)</f>
        <v>26</v>
      </c>
      <c r="E26" s="566">
        <f>IFERROR(VLOOKUP($A26,Race_2024_Seasonal!$A:$W,7,FALSE),0)</f>
        <v>26</v>
      </c>
      <c r="F26" s="566">
        <f>IFERROR(VLOOKUP($A26,Race_2024_Seasonal!$A:$W,7,FALSE),0)</f>
        <v>26</v>
      </c>
      <c r="G26" s="566">
        <f>IFERROR(VLOOKUP($A26,Race_2024_Seasonal!$A:$W,7,FALSE),0)</f>
        <v>26</v>
      </c>
      <c r="H26" s="566">
        <f>IFERROR(VLOOKUP($A26,Race_2024_Seasonal!$A:$W,7,FALSE),0)</f>
        <v>26</v>
      </c>
      <c r="I26" s="566">
        <f>IFERROR(VLOOKUP($A26,Race_2024_Seasonal!$A:$W,7,FALSE),0)</f>
        <v>26</v>
      </c>
      <c r="J26" s="566">
        <f>IFERROR(VLOOKUP($A26,Race_2024_Seasonal!$A:$W,7,FALSE),0)</f>
        <v>26</v>
      </c>
      <c r="K26" s="566">
        <f>IFERROR(VLOOKUP($A26,Race_2024_Seasonal!$A:$W,7,FALSE),0)</f>
        <v>26</v>
      </c>
      <c r="L26" s="566">
        <f>IFERROR(VLOOKUP($A26,Race_2024_Seasonal!$A:$W,7,FALSE),0)</f>
        <v>26</v>
      </c>
      <c r="M26" s="566">
        <f>IFERROR(VLOOKUP($A26,Race_2024_Seasonal!$A:$W,7,FALSE),0)</f>
        <v>26</v>
      </c>
      <c r="N26" s="566">
        <f>IFERROR(VLOOKUP($A26,Race_2024_Seasonal!$A:$W,7,FALSE),0)</f>
        <v>26</v>
      </c>
      <c r="O26" s="577">
        <f>IFERROR(VLOOKUP($A26,Race_2024_Seasonal!$A:$W,7,FALSE),0)</f>
        <v>26</v>
      </c>
      <c r="Q26" s="575">
        <f t="shared" si="5"/>
        <v>26</v>
      </c>
      <c r="R26" s="660"/>
      <c r="S26" s="630">
        <f>Q26-KeyData!H26</f>
        <v>0</v>
      </c>
    </row>
    <row r="27" spans="1:19" ht="15" x14ac:dyDescent="0.25">
      <c r="A27" s="534" t="s">
        <v>1042</v>
      </c>
      <c r="B27" s="534"/>
      <c r="C27" s="579" t="s">
        <v>1043</v>
      </c>
      <c r="D27" s="566">
        <f>IFERROR(VLOOKUP($A27,Race_2024_Seasonal!$A:$W,7,FALSE),0)</f>
        <v>5</v>
      </c>
      <c r="E27" s="566">
        <f>IFERROR(VLOOKUP($A27,Race_2024_Seasonal!$A:$W,7,FALSE),0)</f>
        <v>5</v>
      </c>
      <c r="F27" s="566">
        <f>IFERROR(VLOOKUP($A27,Race_2024_Seasonal!$A:$W,7,FALSE),0)</f>
        <v>5</v>
      </c>
      <c r="G27" s="566">
        <f>IFERROR(VLOOKUP($A27,Race_2024_Seasonal!$A:$W,7,FALSE),0)</f>
        <v>5</v>
      </c>
      <c r="H27" s="566">
        <f>IFERROR(VLOOKUP($A27,Race_2024_Seasonal!$A:$W,7,FALSE),0)</f>
        <v>5</v>
      </c>
      <c r="I27" s="566">
        <f>IFERROR(VLOOKUP($A27,Race_2024_Seasonal!$A:$W,7,FALSE),0)</f>
        <v>5</v>
      </c>
      <c r="J27" s="566">
        <f>IFERROR(VLOOKUP($A27,Race_2024_Seasonal!$A:$W,7,FALSE),0)</f>
        <v>5</v>
      </c>
      <c r="K27" s="566">
        <f>IFERROR(VLOOKUP($A27,Race_2024_Seasonal!$A:$W,7,FALSE),0)</f>
        <v>5</v>
      </c>
      <c r="L27" s="566">
        <f>IFERROR(VLOOKUP($A27,Race_2024_Seasonal!$A:$W,7,FALSE),0)</f>
        <v>5</v>
      </c>
      <c r="M27" s="566">
        <f>IFERROR(VLOOKUP($A27,Race_2024_Seasonal!$A:$W,7,FALSE),0)</f>
        <v>5</v>
      </c>
      <c r="N27" s="566">
        <f>IFERROR(VLOOKUP($A27,Race_2024_Seasonal!$A:$W,7,FALSE),0)</f>
        <v>5</v>
      </c>
      <c r="O27" s="577">
        <f>IFERROR(VLOOKUP($A27,Race_2024_Seasonal!$A:$W,7,FALSE),0)</f>
        <v>5</v>
      </c>
      <c r="Q27" s="575">
        <f t="shared" si="5"/>
        <v>5</v>
      </c>
      <c r="R27" s="660"/>
      <c r="S27" s="630">
        <f>Q27-KeyData!H27</f>
        <v>0</v>
      </c>
    </row>
    <row r="28" spans="1:19" ht="15" x14ac:dyDescent="0.25">
      <c r="A28" s="534" t="s">
        <v>1044</v>
      </c>
      <c r="B28" s="534"/>
      <c r="C28" s="578" t="s">
        <v>1045</v>
      </c>
      <c r="D28" s="566">
        <f>IFERROR(VLOOKUP($A28,Race_2024_Seasonal!$A:$W,7,FALSE),0)</f>
        <v>0</v>
      </c>
      <c r="E28" s="566">
        <f>IFERROR(VLOOKUP($A28,Race_2024_Seasonal!$A:$W,7,FALSE),0)</f>
        <v>0</v>
      </c>
      <c r="F28" s="566">
        <f>IFERROR(VLOOKUP($A28,Race_2024_Seasonal!$A:$W,7,FALSE),0)</f>
        <v>0</v>
      </c>
      <c r="G28" s="566">
        <f>IFERROR(VLOOKUP($A28,Race_2024_Seasonal!$A:$W,7,FALSE),0)</f>
        <v>0</v>
      </c>
      <c r="H28" s="566">
        <f>IFERROR(VLOOKUP($A28,Race_2024_Seasonal!$A:$W,7,FALSE),0)</f>
        <v>0</v>
      </c>
      <c r="I28" s="566">
        <f>IFERROR(VLOOKUP($A28,Race_2024_Seasonal!$A:$W,7,FALSE),0)</f>
        <v>0</v>
      </c>
      <c r="J28" s="566">
        <f>IFERROR(VLOOKUP($A28,Race_2024_Seasonal!$A:$W,7,FALSE),0)</f>
        <v>0</v>
      </c>
      <c r="K28" s="566">
        <f>IFERROR(VLOOKUP($A28,Race_2024_Seasonal!$A:$W,7,FALSE),0)</f>
        <v>0</v>
      </c>
      <c r="L28" s="566">
        <f>IFERROR(VLOOKUP($A28,Race_2024_Seasonal!$A:$W,7,FALSE),0)</f>
        <v>0</v>
      </c>
      <c r="M28" s="566">
        <f>IFERROR(VLOOKUP($A28,Race_2024_Seasonal!$A:$W,7,FALSE),0)</f>
        <v>0</v>
      </c>
      <c r="N28" s="566">
        <f>IFERROR(VLOOKUP($A28,Race_2024_Seasonal!$A:$W,7,FALSE),0)</f>
        <v>0</v>
      </c>
      <c r="O28" s="577">
        <f>IFERROR(VLOOKUP($A28,Race_2024_Seasonal!$A:$W,7,FALSE),0)</f>
        <v>0</v>
      </c>
      <c r="Q28" s="575">
        <f t="shared" si="5"/>
        <v>0</v>
      </c>
      <c r="R28" s="660"/>
      <c r="S28" s="630">
        <f>Q28-KeyData!H28</f>
        <v>0</v>
      </c>
    </row>
    <row r="29" spans="1:19" ht="15" x14ac:dyDescent="0.25">
      <c r="A29" s="534" t="s">
        <v>1046</v>
      </c>
      <c r="B29" s="534"/>
      <c r="C29" s="578" t="s">
        <v>1047</v>
      </c>
      <c r="D29" s="566">
        <f>IFERROR(VLOOKUP($A29,Race_2024_Seasonal!$A:$W,7,FALSE),0)</f>
        <v>0</v>
      </c>
      <c r="E29" s="566">
        <f>IFERROR(VLOOKUP($A29,Race_2024_Seasonal!$A:$W,7,FALSE),0)</f>
        <v>0</v>
      </c>
      <c r="F29" s="566">
        <f>IFERROR(VLOOKUP($A29,Race_2024_Seasonal!$A:$W,7,FALSE),0)</f>
        <v>0</v>
      </c>
      <c r="G29" s="566">
        <f>IFERROR(VLOOKUP($A29,Race_2024_Seasonal!$A:$W,7,FALSE),0)</f>
        <v>0</v>
      </c>
      <c r="H29" s="566">
        <f>IFERROR(VLOOKUP($A29,Race_2024_Seasonal!$A:$W,7,FALSE),0)</f>
        <v>0</v>
      </c>
      <c r="I29" s="566">
        <f>IFERROR(VLOOKUP($A29,Race_2024_Seasonal!$A:$W,7,FALSE),0)</f>
        <v>0</v>
      </c>
      <c r="J29" s="566">
        <f>IFERROR(VLOOKUP($A29,Race_2024_Seasonal!$A:$W,7,FALSE),0)</f>
        <v>0</v>
      </c>
      <c r="K29" s="566">
        <f>IFERROR(VLOOKUP($A29,Race_2024_Seasonal!$A:$W,7,FALSE),0)</f>
        <v>0</v>
      </c>
      <c r="L29" s="566">
        <f>IFERROR(VLOOKUP($A29,Race_2024_Seasonal!$A:$W,7,FALSE),0)</f>
        <v>0</v>
      </c>
      <c r="M29" s="566">
        <f>IFERROR(VLOOKUP($A29,Race_2024_Seasonal!$A:$W,7,FALSE),0)</f>
        <v>0</v>
      </c>
      <c r="N29" s="566">
        <f>IFERROR(VLOOKUP($A29,Race_2024_Seasonal!$A:$W,7,FALSE),0)</f>
        <v>0</v>
      </c>
      <c r="O29" s="577">
        <f>IFERROR(VLOOKUP($A29,Race_2024_Seasonal!$A:$W,7,FALSE),0)</f>
        <v>0</v>
      </c>
      <c r="Q29" s="575">
        <f t="shared" si="5"/>
        <v>0</v>
      </c>
      <c r="R29" s="660"/>
      <c r="S29" s="630">
        <f>Q29-KeyData!H29</f>
        <v>0</v>
      </c>
    </row>
    <row r="30" spans="1:19" ht="15" x14ac:dyDescent="0.25">
      <c r="A30" s="534" t="s">
        <v>1048</v>
      </c>
      <c r="B30" s="534"/>
      <c r="C30" s="574" t="s">
        <v>1049</v>
      </c>
      <c r="D30" s="614">
        <f>IFERROR((VLOOKUP($A30,Race_2024_Seasonal!$A:$W,5)-D21),0)</f>
        <v>-31</v>
      </c>
      <c r="E30" s="614">
        <f>IFERROR((VLOOKUP($A30,Race_2024_Seasonal!$A:$W,7,FALSE)-E21),0)</f>
        <v>0</v>
      </c>
      <c r="F30" s="614">
        <f>IFERROR((VLOOKUP($A30,Race_2024_Seasonal!$A:$W,7,FALSE)-F21),0)</f>
        <v>0</v>
      </c>
      <c r="G30" s="614">
        <f>IFERROR((VLOOKUP($A30,Race_2024_Seasonal!$A:$W,7,FALSE)-G21),0)</f>
        <v>0</v>
      </c>
      <c r="H30" s="614">
        <f>IFERROR((VLOOKUP($A30,Race_2024_Seasonal!$A:$W,7,FALSE)-H21),0)</f>
        <v>0</v>
      </c>
      <c r="I30" s="614">
        <f>IFERROR((VLOOKUP($A30,Race_2024_Seasonal!$A:$W,7,FALSE)-I21),0)</f>
        <v>0</v>
      </c>
      <c r="J30" s="614">
        <f>IFERROR((VLOOKUP($A30,Race_2024_Seasonal!$A:$W,7,FALSE)-J21),0)</f>
        <v>0</v>
      </c>
      <c r="K30" s="614">
        <f>IFERROR((VLOOKUP($A30,Race_2024_Seasonal!$A:$W,7,FALSE)-K21),0)</f>
        <v>0</v>
      </c>
      <c r="L30" s="614">
        <f>IFERROR((VLOOKUP($A30,Race_2024_Seasonal!$A:$W,7,FALSE)-L21),0)</f>
        <v>0</v>
      </c>
      <c r="M30" s="614">
        <f>IFERROR((VLOOKUP($A30,Race_2024_Seasonal!$A:$W,7,FALSE)-M21),0)</f>
        <v>0</v>
      </c>
      <c r="N30" s="614">
        <f>IFERROR((VLOOKUP($A30,Race_2024_Seasonal!$A:$W,7,FALSE)-N21),0)</f>
        <v>0</v>
      </c>
      <c r="O30" s="615">
        <f>IFERROR((VLOOKUP($A30,Race_2024_Seasonal!$A:$W,7,FALSE)-O21),0)</f>
        <v>0</v>
      </c>
      <c r="Q30" s="626">
        <f t="shared" si="5"/>
        <v>0</v>
      </c>
      <c r="R30" s="661"/>
      <c r="S30" s="630">
        <f>Q30-KeyData!H30</f>
        <v>0</v>
      </c>
    </row>
    <row r="31" spans="1:19" ht="15" x14ac:dyDescent="0.25">
      <c r="S31" s="630">
        <f>Q31-KeyData!H31</f>
        <v>0</v>
      </c>
    </row>
    <row r="32" spans="1:19" ht="15" x14ac:dyDescent="0.25">
      <c r="C32" s="616" t="s">
        <v>459</v>
      </c>
      <c r="D32" s="594">
        <f t="shared" ref="D32:O32" si="6">SUM(D40+D46)</f>
        <v>-205320.62</v>
      </c>
      <c r="E32" s="594">
        <f t="shared" si="6"/>
        <v>-206704.87400000001</v>
      </c>
      <c r="F32" s="594">
        <f t="shared" si="6"/>
        <v>-200910.37599999999</v>
      </c>
      <c r="G32" s="594">
        <f t="shared" si="6"/>
        <v>-190193.40999999997</v>
      </c>
      <c r="H32" s="594">
        <f t="shared" si="6"/>
        <v>-195862.92199999999</v>
      </c>
      <c r="I32" s="594">
        <f t="shared" si="6"/>
        <v>-194447.61599999998</v>
      </c>
      <c r="J32" s="594">
        <f t="shared" si="6"/>
        <v>-213604.28700000001</v>
      </c>
      <c r="K32" s="594">
        <f t="shared" si="6"/>
        <v>-206128.538</v>
      </c>
      <c r="L32" s="594">
        <f t="shared" si="6"/>
        <v>-206515.53499999997</v>
      </c>
      <c r="M32" s="594">
        <f t="shared" si="6"/>
        <v>-199029.81099999999</v>
      </c>
      <c r="N32" s="594">
        <f t="shared" si="6"/>
        <v>-199940.73099999997</v>
      </c>
      <c r="O32" s="593">
        <f t="shared" si="6"/>
        <v>-201071.495</v>
      </c>
      <c r="Q32" s="592">
        <f>SUM(D32:O32)</f>
        <v>-2419730.2149999999</v>
      </c>
      <c r="R32" s="660"/>
      <c r="S32" s="630">
        <f>Q32-KeyData!H32</f>
        <v>0</v>
      </c>
    </row>
    <row r="33" spans="1:19" ht="15" x14ac:dyDescent="0.25">
      <c r="A33" s="532" t="s">
        <v>1050</v>
      </c>
      <c r="C33" s="619" t="s">
        <v>426</v>
      </c>
      <c r="D33" s="566">
        <f>IFERROR(VLOOKUP(A33, Race_2024_Seasonal!A:W, 7, FALSE), 0)</f>
        <v>-54295.493000000002</v>
      </c>
      <c r="E33" s="566">
        <f>IFERROR(VLOOKUP(A33, Race_2024_Seasonal!A:W, 8, FALSE), 0)</f>
        <v>-54215.038999999997</v>
      </c>
      <c r="F33" s="566">
        <f>IFERROR(VLOOKUP(A33, Race_2024_Seasonal!A:W, 9, FALSE), 0)</f>
        <v>-54362.315999999999</v>
      </c>
      <c r="G33" s="566">
        <f>IFERROR(VLOOKUP(A33, Race_2024_Seasonal!A:W, 10, FALSE), 0)</f>
        <v>-50166.438999999998</v>
      </c>
      <c r="H33" s="566">
        <f>IFERROR(VLOOKUP(A33, Race_2024_Seasonal!A:W, 11, FALSE), 0)</f>
        <v>-53105.339</v>
      </c>
      <c r="I33" s="566">
        <f>IFERROR(VLOOKUP(A33, Race_2024_Seasonal!A:W, 12, FALSE), 0)</f>
        <v>-54124.247000000003</v>
      </c>
      <c r="J33" s="566">
        <f>IFERROR(VLOOKUP(A33, Race_2024_Seasonal!A:W, 13, FALSE), 0)</f>
        <v>-68689.45</v>
      </c>
      <c r="K33" s="566">
        <f>IFERROR(VLOOKUP(A33, Race_2024_Seasonal!A:W, 14, FALSE), 0)</f>
        <v>-65987.236999999994</v>
      </c>
      <c r="L33" s="566">
        <f>IFERROR(VLOOKUP(A33, Race_2024_Seasonal!A:W, 15, FALSE), 0)</f>
        <v>-58387.523999999998</v>
      </c>
      <c r="M33" s="566">
        <f>IFERROR(VLOOKUP(A33, Race_2024_Seasonal!A:W, 16, FALSE), 0)</f>
        <v>-58377.088000000003</v>
      </c>
      <c r="N33" s="566">
        <f>IFERROR(VLOOKUP(A33, Race_2024_Seasonal!A:W, 17, FALSE), 0)</f>
        <v>-57342.53</v>
      </c>
      <c r="O33" s="577">
        <f>IFERROR(VLOOKUP(A33, Race_2024_Seasonal!A:W, 18, FALSE), 0)</f>
        <v>-60199.338000000003</v>
      </c>
      <c r="Q33" s="575">
        <f t="shared" ref="Q33:Q46" si="7">SUM(D33:O33)</f>
        <v>-689252.04</v>
      </c>
      <c r="R33" s="660"/>
      <c r="S33" s="630">
        <f>Q33-KeyData!H33</f>
        <v>0</v>
      </c>
    </row>
    <row r="34" spans="1:19" ht="15" x14ac:dyDescent="0.25">
      <c r="A34" s="532" t="s">
        <v>1051</v>
      </c>
      <c r="C34" s="619" t="s">
        <v>429</v>
      </c>
      <c r="D34" s="566">
        <f>IFERROR(VLOOKUP(A34, Race_2024_Seasonal!A:W, 7, FALSE), 0)</f>
        <v>-2465.221</v>
      </c>
      <c r="E34" s="566">
        <f>IFERROR(VLOOKUP(A34, Race_2024_Seasonal!A:W, 8, FALSE), 0)</f>
        <v>-2614.5160000000001</v>
      </c>
      <c r="F34" s="566">
        <f>IFERROR(VLOOKUP(A34, Race_2024_Seasonal!A:W, 9, FALSE), 0)</f>
        <v>-2503.748</v>
      </c>
      <c r="G34" s="566">
        <f>IFERROR(VLOOKUP(A34, Race_2024_Seasonal!A:W, 10, FALSE), 0)</f>
        <v>-2289.759</v>
      </c>
      <c r="H34" s="566">
        <f>IFERROR(VLOOKUP(A34, Race_2024_Seasonal!A:W, 11, FALSE), 0)</f>
        <v>-2331.4780000000001</v>
      </c>
      <c r="I34" s="566">
        <f>IFERROR(VLOOKUP(A34, Race_2024_Seasonal!A:W, 12, FALSE), 0)</f>
        <v>-2560.8890000000001</v>
      </c>
      <c r="J34" s="566">
        <f>IFERROR(VLOOKUP(A34, Race_2024_Seasonal!A:W, 13, FALSE), 0)</f>
        <v>-3098.3040000000001</v>
      </c>
      <c r="K34" s="566">
        <f>IFERROR(VLOOKUP(A34, Race_2024_Seasonal!A:W, 14, FALSE), 0)</f>
        <v>-2610.027</v>
      </c>
      <c r="L34" s="566">
        <f>IFERROR(VLOOKUP(A34, Race_2024_Seasonal!A:W, 15, FALSE), 0)</f>
        <v>-2813.4</v>
      </c>
      <c r="M34" s="566">
        <f>IFERROR(VLOOKUP(A34, Race_2024_Seasonal!A:W, 16, FALSE), 0)</f>
        <v>-2567.9059999999999</v>
      </c>
      <c r="N34" s="566">
        <f>IFERROR(VLOOKUP(A34, Race_2024_Seasonal!A:W, 17, FALSE), 0)</f>
        <v>-2608.0160000000001</v>
      </c>
      <c r="O34" s="577">
        <f>IFERROR(VLOOKUP(A34, Race_2024_Seasonal!A:W, 18, FALSE), 0)</f>
        <v>-2662.3560000000002</v>
      </c>
      <c r="Q34" s="575">
        <f t="shared" si="7"/>
        <v>-31125.620000000003</v>
      </c>
      <c r="R34" s="660"/>
      <c r="S34" s="630">
        <f>Q34-KeyData!H34</f>
        <v>0</v>
      </c>
    </row>
    <row r="35" spans="1:19" ht="15" x14ac:dyDescent="0.25">
      <c r="A35" s="532" t="s">
        <v>1052</v>
      </c>
      <c r="C35" s="619" t="s">
        <v>431</v>
      </c>
      <c r="D35" s="566">
        <f>IFERROR(VLOOKUP(A35, Race_2024_Seasonal!A:W, 7, FALSE), 0)</f>
        <v>-25342.435000000001</v>
      </c>
      <c r="E35" s="566">
        <f>IFERROR(VLOOKUP(A35, Race_2024_Seasonal!A:W, 8, FALSE), 0)</f>
        <v>-26243.616000000002</v>
      </c>
      <c r="F35" s="566">
        <f>IFERROR(VLOOKUP(A35, Race_2024_Seasonal!A:W, 9, FALSE), 0)</f>
        <v>-20310.898000000001</v>
      </c>
      <c r="G35" s="566">
        <f>IFERROR(VLOOKUP(A35, Race_2024_Seasonal!A:W, 10, FALSE), 0)</f>
        <v>-14322.986999999999</v>
      </c>
      <c r="H35" s="566">
        <f>IFERROR(VLOOKUP(A35, Race_2024_Seasonal!A:W, 11, FALSE), 0)</f>
        <v>-16795.213</v>
      </c>
      <c r="I35" s="566">
        <f>IFERROR(VLOOKUP(A35, Race_2024_Seasonal!A:W, 12, FALSE), 0)</f>
        <v>-14292.66</v>
      </c>
      <c r="J35" s="566">
        <f>IFERROR(VLOOKUP(A35, Race_2024_Seasonal!A:W, 13, FALSE), 0)</f>
        <v>-17971.845000000001</v>
      </c>
      <c r="K35" s="566">
        <f>IFERROR(VLOOKUP(A35, Race_2024_Seasonal!A:W, 14, FALSE), 0)</f>
        <v>-14030.644</v>
      </c>
      <c r="L35" s="566">
        <f>IFERROR(VLOOKUP(A35, Race_2024_Seasonal!A:W, 15, FALSE), 0)</f>
        <v>-21652.095000000001</v>
      </c>
      <c r="M35" s="566">
        <f>IFERROR(VLOOKUP(A35, Race_2024_Seasonal!A:W, 16, FALSE), 0)</f>
        <v>-14448.245000000001</v>
      </c>
      <c r="N35" s="566">
        <f>IFERROR(VLOOKUP(A35, Race_2024_Seasonal!A:W, 17, FALSE), 0)</f>
        <v>-16699.555</v>
      </c>
      <c r="O35" s="577">
        <f>IFERROR(VLOOKUP(A35, Race_2024_Seasonal!A:W, 18, FALSE), 0)</f>
        <v>-14536.735000000001</v>
      </c>
      <c r="Q35" s="575">
        <f t="shared" si="7"/>
        <v>-216646.92800000001</v>
      </c>
      <c r="R35" s="660"/>
      <c r="S35" s="630">
        <f>Q35-KeyData!H35</f>
        <v>0</v>
      </c>
    </row>
    <row r="36" spans="1:19" ht="15" x14ac:dyDescent="0.25">
      <c r="A36" s="532" t="s">
        <v>1053</v>
      </c>
      <c r="C36" s="619" t="s">
        <v>434</v>
      </c>
      <c r="D36" s="566">
        <f>IFERROR(VLOOKUP(A36, Race_2024_Seasonal!A:W, 7, FALSE), 0)</f>
        <v>0</v>
      </c>
      <c r="E36" s="566">
        <f>IFERROR(VLOOKUP(A36, Race_2024_Seasonal!A:W, 8, FALSE), 0)</f>
        <v>0</v>
      </c>
      <c r="F36" s="566">
        <f>IFERROR(VLOOKUP(A36, Race_2024_Seasonal!A:W, 9, FALSE), 0)</f>
        <v>0</v>
      </c>
      <c r="G36" s="566">
        <f>IFERROR(VLOOKUP(A36, Race_2024_Seasonal!A:W, 10, FALSE), 0)</f>
        <v>0</v>
      </c>
      <c r="H36" s="566">
        <f>IFERROR(VLOOKUP(A36, Race_2024_Seasonal!A:W, 11, FALSE), 0)</f>
        <v>0</v>
      </c>
      <c r="I36" s="566">
        <f>IFERROR(VLOOKUP(A36, Race_2024_Seasonal!A:W, 12, FALSE), 0)</f>
        <v>0</v>
      </c>
      <c r="J36" s="566">
        <f>IFERROR(VLOOKUP(A36, Race_2024_Seasonal!A:W, 13, FALSE), 0)</f>
        <v>0</v>
      </c>
      <c r="K36" s="566">
        <f>IFERROR(VLOOKUP(A36, Race_2024_Seasonal!A:W, 14, FALSE), 0)</f>
        <v>0</v>
      </c>
      <c r="L36" s="566">
        <f>IFERROR(VLOOKUP(A36, Race_2024_Seasonal!A:W, 15, FALSE), 0)</f>
        <v>0</v>
      </c>
      <c r="M36" s="566">
        <f>IFERROR(VLOOKUP(A36, Race_2024_Seasonal!A:W, 16, FALSE), 0)</f>
        <v>0</v>
      </c>
      <c r="N36" s="566">
        <f>IFERROR(VLOOKUP(A36, Race_2024_Seasonal!A:W, 17, FALSE), 0)</f>
        <v>0</v>
      </c>
      <c r="O36" s="577">
        <f>IFERROR(VLOOKUP(A36, Race_2024_Seasonal!A:W, 18, FALSE), 0)</f>
        <v>0</v>
      </c>
      <c r="Q36" s="575">
        <f t="shared" si="7"/>
        <v>0</v>
      </c>
      <c r="R36" s="660"/>
      <c r="S36" s="630">
        <f>Q36-KeyData!H36</f>
        <v>0</v>
      </c>
    </row>
    <row r="37" spans="1:19" ht="15" x14ac:dyDescent="0.25">
      <c r="A37" s="532" t="s">
        <v>1054</v>
      </c>
      <c r="C37" s="619" t="s">
        <v>436</v>
      </c>
      <c r="D37" s="566">
        <f>IFERROR(VLOOKUP(A37, Race_2024_Seasonal!A:W, 7, FALSE), 0)</f>
        <v>-2237.48</v>
      </c>
      <c r="E37" s="566">
        <f>IFERROR(VLOOKUP(A37, Race_2024_Seasonal!A:W, 8, FALSE), 0)</f>
        <v>-2237.48</v>
      </c>
      <c r="F37" s="566">
        <f>IFERROR(VLOOKUP(A37, Race_2024_Seasonal!A:W, 9, FALSE), 0)</f>
        <v>-2237.48</v>
      </c>
      <c r="G37" s="566">
        <f>IFERROR(VLOOKUP(A37, Race_2024_Seasonal!A:W, 10, FALSE), 0)</f>
        <v>-2237.48</v>
      </c>
      <c r="H37" s="566">
        <f>IFERROR(VLOOKUP(A37, Race_2024_Seasonal!A:W, 11, FALSE), 0)</f>
        <v>-2237.48</v>
      </c>
      <c r="I37" s="566">
        <f>IFERROR(VLOOKUP(A37, Race_2024_Seasonal!A:W, 12, FALSE), 0)</f>
        <v>-2237.48</v>
      </c>
      <c r="J37" s="566">
        <f>IFERROR(VLOOKUP(A37, Race_2024_Seasonal!A:W, 13, FALSE), 0)</f>
        <v>-2237.48</v>
      </c>
      <c r="K37" s="566">
        <f>IFERROR(VLOOKUP(A37, Race_2024_Seasonal!A:W, 14, FALSE), 0)</f>
        <v>-2237.48</v>
      </c>
      <c r="L37" s="566">
        <f>IFERROR(VLOOKUP(A37, Race_2024_Seasonal!A:W, 15, FALSE), 0)</f>
        <v>-2237.48</v>
      </c>
      <c r="M37" s="566">
        <f>IFERROR(VLOOKUP(A37, Race_2024_Seasonal!A:W, 16, FALSE), 0)</f>
        <v>-2237.48</v>
      </c>
      <c r="N37" s="566">
        <f>IFERROR(VLOOKUP(A37, Race_2024_Seasonal!A:W, 17, FALSE), 0)</f>
        <v>-2237.48</v>
      </c>
      <c r="O37" s="577">
        <f>IFERROR(VLOOKUP(A37, Race_2024_Seasonal!A:W, 18, FALSE), 0)</f>
        <v>-2237.48</v>
      </c>
      <c r="Q37" s="575">
        <f t="shared" si="7"/>
        <v>-26849.759999999998</v>
      </c>
      <c r="R37" s="660"/>
      <c r="S37" s="630">
        <f>Q37-KeyData!H37</f>
        <v>0</v>
      </c>
    </row>
    <row r="38" spans="1:19" ht="12.75" customHeight="1" x14ac:dyDescent="0.25">
      <c r="A38" s="532" t="s">
        <v>1055</v>
      </c>
      <c r="C38" s="619" t="s">
        <v>439</v>
      </c>
      <c r="D38" s="566">
        <f>IFERROR(VLOOKUP(A38, Race_2024_Seasonal!A:W, 7, FALSE), 0)</f>
        <v>0</v>
      </c>
      <c r="E38" s="566">
        <f>IFERROR(VLOOKUP(A38, Race_2024_Seasonal!A:W, 8, FALSE), 0)</f>
        <v>0</v>
      </c>
      <c r="F38" s="566">
        <f>IFERROR(VLOOKUP(A38, Race_2024_Seasonal!A:W, 9, FALSE), 0)</f>
        <v>0</v>
      </c>
      <c r="G38" s="566">
        <f>IFERROR(VLOOKUP(A38, Race_2024_Seasonal!A:W, 10, FALSE), 0)</f>
        <v>0</v>
      </c>
      <c r="H38" s="566">
        <f>IFERROR(VLOOKUP(A38, Race_2024_Seasonal!A:W, 11, FALSE), 0)</f>
        <v>0</v>
      </c>
      <c r="I38" s="566">
        <f>IFERROR(VLOOKUP(A38, Race_2024_Seasonal!A:W, 12, FALSE), 0)</f>
        <v>0</v>
      </c>
      <c r="J38" s="566">
        <f>IFERROR(VLOOKUP(A38, Race_2024_Seasonal!A:W, 13, FALSE), 0)</f>
        <v>0</v>
      </c>
      <c r="K38" s="566">
        <f>IFERROR(VLOOKUP(A38, Race_2024_Seasonal!A:W, 14, FALSE), 0)</f>
        <v>0</v>
      </c>
      <c r="L38" s="566">
        <f>IFERROR(VLOOKUP(A38, Race_2024_Seasonal!A:W, 15, FALSE), 0)</f>
        <v>0</v>
      </c>
      <c r="M38" s="566">
        <f>IFERROR(VLOOKUP(A38, Race_2024_Seasonal!A:W, 16, FALSE), 0)</f>
        <v>0</v>
      </c>
      <c r="N38" s="566">
        <f>IFERROR(VLOOKUP(A38, Race_2024_Seasonal!A:W, 17, FALSE), 0)</f>
        <v>0</v>
      </c>
      <c r="O38" s="577">
        <f>IFERROR(VLOOKUP(A38, Race_2024_Seasonal!A:W, 18, FALSE), 0)</f>
        <v>0</v>
      </c>
      <c r="P38" s="560"/>
      <c r="Q38" s="575">
        <f t="shared" si="7"/>
        <v>0</v>
      </c>
      <c r="R38" s="660"/>
      <c r="S38" s="630">
        <f>Q38-KeyData!H38</f>
        <v>0</v>
      </c>
    </row>
    <row r="39" spans="1:19" ht="12.75" customHeight="1" x14ac:dyDescent="0.25">
      <c r="A39" s="532" t="s">
        <v>1056</v>
      </c>
      <c r="C39" s="619" t="s">
        <v>441</v>
      </c>
      <c r="D39" s="566">
        <f>IFERROR(VLOOKUP(A39, Race_2024_Seasonal!A:W, 7, FALSE), 0)</f>
        <v>-9259.5669999999991</v>
      </c>
      <c r="E39" s="566">
        <f>IFERROR(VLOOKUP(A39, Race_2024_Seasonal!A:W, 8, FALSE), 0)</f>
        <v>-9673.7990000000009</v>
      </c>
      <c r="F39" s="566">
        <f>IFERROR(VLOOKUP(A39, Race_2024_Seasonal!A:W, 9, FALSE), 0)</f>
        <v>-9775.51</v>
      </c>
      <c r="G39" s="566">
        <f>IFERROR(VLOOKUP(A39, Race_2024_Seasonal!A:W, 10, FALSE), 0)</f>
        <v>-9456.3209999999999</v>
      </c>
      <c r="H39" s="566">
        <f>IFERROR(VLOOKUP(A39, Race_2024_Seasonal!A:W, 11, FALSE), 0)</f>
        <v>-9672.9879999999994</v>
      </c>
      <c r="I39" s="566">
        <f>IFERROR(VLOOKUP(A39, Race_2024_Seasonal!A:W, 12, FALSE), 0)</f>
        <v>-9511.9159999999993</v>
      </c>
      <c r="J39" s="566">
        <f>IFERROR(VLOOKUP(A39, Race_2024_Seasonal!A:W, 13, FALSE), 0)</f>
        <v>-9886.7839999999997</v>
      </c>
      <c r="K39" s="566">
        <f>IFERROR(VLOOKUP(A39, Race_2024_Seasonal!A:W, 14, FALSE), 0)</f>
        <v>-9542.7260000000006</v>
      </c>
      <c r="L39" s="566">
        <f>IFERROR(VLOOKUP(A39, Race_2024_Seasonal!A:W, 15, FALSE), 0)</f>
        <v>-9704.6119999999992</v>
      </c>
      <c r="M39" s="566">
        <f>IFERROR(VLOOKUP(A39, Race_2024_Seasonal!A:W, 16, FALSE), 0)</f>
        <v>-9678.6679999999997</v>
      </c>
      <c r="N39" s="566">
        <f>IFERROR(VLOOKUP(A39, Race_2024_Seasonal!A:W, 17, FALSE), 0)</f>
        <v>-9332.7260000000006</v>
      </c>
      <c r="O39" s="577">
        <f>IFERROR(VLOOKUP(A39, Race_2024_Seasonal!A:W, 18, FALSE), 0)</f>
        <v>-9715.1620000000003</v>
      </c>
      <c r="Q39" s="575">
        <f t="shared" si="7"/>
        <v>-115210.77899999998</v>
      </c>
      <c r="R39" s="660"/>
      <c r="S39" s="630">
        <f>Q39-KeyData!H39</f>
        <v>0</v>
      </c>
    </row>
    <row r="40" spans="1:19" ht="12.75" customHeight="1" x14ac:dyDescent="0.25">
      <c r="C40" s="617" t="s">
        <v>444</v>
      </c>
      <c r="D40" s="586">
        <f t="shared" ref="D40:O40" si="8">SUM(D33:D39)</f>
        <v>-93600.195999999996</v>
      </c>
      <c r="E40" s="586">
        <f t="shared" si="8"/>
        <v>-94984.45</v>
      </c>
      <c r="F40" s="586">
        <f t="shared" si="8"/>
        <v>-89189.95199999999</v>
      </c>
      <c r="G40" s="586">
        <f t="shared" si="8"/>
        <v>-78472.98599999999</v>
      </c>
      <c r="H40" s="586">
        <f t="shared" si="8"/>
        <v>-84142.497999999992</v>
      </c>
      <c r="I40" s="586">
        <f t="shared" si="8"/>
        <v>-82727.191999999995</v>
      </c>
      <c r="J40" s="586">
        <f t="shared" si="8"/>
        <v>-101883.863</v>
      </c>
      <c r="K40" s="586">
        <f t="shared" si="8"/>
        <v>-94408.113999999987</v>
      </c>
      <c r="L40" s="586">
        <f t="shared" si="8"/>
        <v>-94795.11099999999</v>
      </c>
      <c r="M40" s="586">
        <f t="shared" si="8"/>
        <v>-87309.387000000002</v>
      </c>
      <c r="N40" s="586">
        <f t="shared" si="8"/>
        <v>-88220.306999999986</v>
      </c>
      <c r="O40" s="585">
        <f t="shared" si="8"/>
        <v>-89351.070999999996</v>
      </c>
      <c r="Q40" s="584">
        <f t="shared" si="7"/>
        <v>-1079085.1269999999</v>
      </c>
      <c r="R40" s="660"/>
      <c r="S40" s="630">
        <f>Q40-KeyData!H40</f>
        <v>0</v>
      </c>
    </row>
    <row r="41" spans="1:19" ht="12.75" customHeight="1" x14ac:dyDescent="0.25">
      <c r="A41" s="532" t="s">
        <v>1057</v>
      </c>
      <c r="C41" s="619" t="s">
        <v>445</v>
      </c>
      <c r="D41" s="566">
        <f>IFERROR(VLOOKUP(A41, Race_2024_Seasonal!A:W, 7, FALSE), 0)</f>
        <v>-35657.870000000003</v>
      </c>
      <c r="E41" s="566">
        <f>IFERROR(VLOOKUP(A41, Race_2024_Seasonal!A:W, 8, FALSE), 0)</f>
        <v>-35657.870000000003</v>
      </c>
      <c r="F41" s="566">
        <f>IFERROR(VLOOKUP(A41, Race_2024_Seasonal!A:W, 9, FALSE), 0)</f>
        <v>-35657.870000000003</v>
      </c>
      <c r="G41" s="566">
        <f>IFERROR(VLOOKUP(A41, Race_2024_Seasonal!A:W, 10, FALSE), 0)</f>
        <v>-35657.870000000003</v>
      </c>
      <c r="H41" s="566">
        <f>IFERROR(VLOOKUP(A41, Race_2024_Seasonal!A:W, 11, FALSE), 0)</f>
        <v>-35657.870000000003</v>
      </c>
      <c r="I41" s="566">
        <f>IFERROR(VLOOKUP(A41, Race_2024_Seasonal!A:W, 12, FALSE), 0)</f>
        <v>-35657.870000000003</v>
      </c>
      <c r="J41" s="566">
        <f>IFERROR(VLOOKUP(A41, Race_2024_Seasonal!A:W, 13, FALSE), 0)</f>
        <v>-35657.870000000003</v>
      </c>
      <c r="K41" s="566">
        <f>IFERROR(VLOOKUP(A41, Race_2024_Seasonal!A:W, 14, FALSE), 0)</f>
        <v>-35657.870000000003</v>
      </c>
      <c r="L41" s="566">
        <f>IFERROR(VLOOKUP(A41, Race_2024_Seasonal!A:W, 15, FALSE), 0)</f>
        <v>-35657.870000000003</v>
      </c>
      <c r="M41" s="566">
        <f>IFERROR(VLOOKUP(A41, Race_2024_Seasonal!A:W, 16, FALSE), 0)</f>
        <v>-35657.870000000003</v>
      </c>
      <c r="N41" s="566">
        <f>IFERROR(VLOOKUP(A41, Race_2024_Seasonal!A:W, 17, FALSE), 0)</f>
        <v>-35657.870000000003</v>
      </c>
      <c r="O41" s="577">
        <f>IFERROR(VLOOKUP(A41, Race_2024_Seasonal!A:W, 18, FALSE), 0)</f>
        <v>-35657.870000000003</v>
      </c>
      <c r="Q41" s="575">
        <f t="shared" si="7"/>
        <v>-427894.44</v>
      </c>
      <c r="R41" s="660"/>
      <c r="S41" s="630">
        <f>Q41-KeyData!H41</f>
        <v>0</v>
      </c>
    </row>
    <row r="42" spans="1:19" ht="12.75" customHeight="1" x14ac:dyDescent="0.25">
      <c r="A42" s="532" t="s">
        <v>1058</v>
      </c>
      <c r="C42" s="619" t="s">
        <v>448</v>
      </c>
      <c r="D42" s="566">
        <f>IFERROR(VLOOKUP(A42, Race_2024_Seasonal!A:W, 7, FALSE), 0)</f>
        <v>-10756.484</v>
      </c>
      <c r="E42" s="566">
        <f>IFERROR(VLOOKUP(A42, Race_2024_Seasonal!A:W, 8, FALSE), 0)</f>
        <v>-10756.484</v>
      </c>
      <c r="F42" s="566">
        <f>IFERROR(VLOOKUP(A42, Race_2024_Seasonal!A:W, 9, FALSE), 0)</f>
        <v>-10756.484</v>
      </c>
      <c r="G42" s="566">
        <f>IFERROR(VLOOKUP(A42, Race_2024_Seasonal!A:W, 10, FALSE), 0)</f>
        <v>-10756.484</v>
      </c>
      <c r="H42" s="566">
        <f>IFERROR(VLOOKUP(A42, Race_2024_Seasonal!A:W, 11, FALSE), 0)</f>
        <v>-10756.484</v>
      </c>
      <c r="I42" s="566">
        <f>IFERROR(VLOOKUP(A42, Race_2024_Seasonal!A:W, 12, FALSE), 0)</f>
        <v>-10756.484</v>
      </c>
      <c r="J42" s="566">
        <f>IFERROR(VLOOKUP(A42, Race_2024_Seasonal!A:W, 13, FALSE), 0)</f>
        <v>-10756.484</v>
      </c>
      <c r="K42" s="566">
        <f>IFERROR(VLOOKUP(A42, Race_2024_Seasonal!A:W, 14, FALSE), 0)</f>
        <v>-10756.484</v>
      </c>
      <c r="L42" s="566">
        <f>IFERROR(VLOOKUP(A42, Race_2024_Seasonal!A:W, 15, FALSE), 0)</f>
        <v>-10756.484</v>
      </c>
      <c r="M42" s="566">
        <f>IFERROR(VLOOKUP(A42, Race_2024_Seasonal!A:W, 16, FALSE), 0)</f>
        <v>-10756.484</v>
      </c>
      <c r="N42" s="566">
        <f>IFERROR(VLOOKUP(A42, Race_2024_Seasonal!A:W, 17, FALSE), 0)</f>
        <v>-10756.484</v>
      </c>
      <c r="O42" s="577">
        <f>IFERROR(VLOOKUP(A42, Race_2024_Seasonal!A:W, 18, FALSE), 0)</f>
        <v>-10756.484</v>
      </c>
      <c r="Q42" s="575">
        <f t="shared" si="7"/>
        <v>-129077.80799999998</v>
      </c>
      <c r="R42" s="660"/>
      <c r="S42" s="630">
        <f>Q42-KeyData!H42</f>
        <v>0</v>
      </c>
    </row>
    <row r="43" spans="1:19" ht="12.75" customHeight="1" x14ac:dyDescent="0.25">
      <c r="A43" s="532" t="s">
        <v>1059</v>
      </c>
      <c r="C43" s="619" t="s">
        <v>450</v>
      </c>
      <c r="D43" s="566">
        <f>IFERROR(VLOOKUP(A43, Race_2024_Seasonal!A:W, 7, FALSE), 0)</f>
        <v>0</v>
      </c>
      <c r="E43" s="566">
        <f>IFERROR(VLOOKUP(A43, Race_2024_Seasonal!A:W, 8, FALSE), 0)</f>
        <v>0</v>
      </c>
      <c r="F43" s="566">
        <f>IFERROR(VLOOKUP(A43, Race_2024_Seasonal!A:W, 9, FALSE), 0)</f>
        <v>0</v>
      </c>
      <c r="G43" s="566">
        <f>IFERROR(VLOOKUP(A43, Race_2024_Seasonal!A:W, 10, FALSE), 0)</f>
        <v>0</v>
      </c>
      <c r="H43" s="566">
        <f>IFERROR(VLOOKUP(A43, Race_2024_Seasonal!A:W, 11, FALSE), 0)</f>
        <v>0</v>
      </c>
      <c r="I43" s="566">
        <f>IFERROR(VLOOKUP(A43, Race_2024_Seasonal!A:W, 12, FALSE), 0)</f>
        <v>0</v>
      </c>
      <c r="J43" s="566">
        <f>IFERROR(VLOOKUP(A43, Race_2024_Seasonal!A:W, 13, FALSE), 0)</f>
        <v>0</v>
      </c>
      <c r="K43" s="566">
        <f>IFERROR(VLOOKUP(A43, Race_2024_Seasonal!A:W, 14, FALSE), 0)</f>
        <v>0</v>
      </c>
      <c r="L43" s="566">
        <f>IFERROR(VLOOKUP(A43, Race_2024_Seasonal!A:W, 15, FALSE), 0)</f>
        <v>0</v>
      </c>
      <c r="M43" s="566">
        <f>IFERROR(VLOOKUP(A43, Race_2024_Seasonal!A:W, 16, FALSE), 0)</f>
        <v>0</v>
      </c>
      <c r="N43" s="566">
        <f>IFERROR(VLOOKUP(A43, Race_2024_Seasonal!A:W, 17, FALSE), 0)</f>
        <v>0</v>
      </c>
      <c r="O43" s="577">
        <f>IFERROR(VLOOKUP(A43, Race_2024_Seasonal!A:W, 18, FALSE), 0)</f>
        <v>0</v>
      </c>
      <c r="Q43" s="575">
        <f t="shared" si="7"/>
        <v>0</v>
      </c>
      <c r="R43" s="660"/>
      <c r="S43" s="630">
        <f>Q43-KeyData!H43</f>
        <v>0</v>
      </c>
    </row>
    <row r="44" spans="1:19" ht="12.75" customHeight="1" x14ac:dyDescent="0.25">
      <c r="A44" s="532" t="s">
        <v>1060</v>
      </c>
      <c r="C44" s="619" t="s">
        <v>453</v>
      </c>
      <c r="D44" s="566">
        <f>IFERROR(VLOOKUP(A44, Race_2024_Seasonal!A:W, 7, FALSE), 0)</f>
        <v>-55733.332999999999</v>
      </c>
      <c r="E44" s="566">
        <f>IFERROR(VLOOKUP(A44, Race_2024_Seasonal!A:W, 8, FALSE), 0)</f>
        <v>-55733.332999999999</v>
      </c>
      <c r="F44" s="566">
        <f>IFERROR(VLOOKUP(A44, Race_2024_Seasonal!A:W, 9, FALSE), 0)</f>
        <v>-55733.332999999999</v>
      </c>
      <c r="G44" s="566">
        <f>IFERROR(VLOOKUP(A44, Race_2024_Seasonal!A:W, 10, FALSE), 0)</f>
        <v>-55733.332999999999</v>
      </c>
      <c r="H44" s="566">
        <f>IFERROR(VLOOKUP(A44, Race_2024_Seasonal!A:W, 11, FALSE), 0)</f>
        <v>-55733.332999999999</v>
      </c>
      <c r="I44" s="566">
        <f>IFERROR(VLOOKUP(A44, Race_2024_Seasonal!A:W, 12, FALSE), 0)</f>
        <v>-55733.332999999999</v>
      </c>
      <c r="J44" s="566">
        <f>IFERROR(VLOOKUP(A44, Race_2024_Seasonal!A:W, 13, FALSE), 0)</f>
        <v>-55733.332999999999</v>
      </c>
      <c r="K44" s="566">
        <f>IFERROR(VLOOKUP(A44, Race_2024_Seasonal!A:W, 14, FALSE), 0)</f>
        <v>-55733.332999999999</v>
      </c>
      <c r="L44" s="566">
        <f>IFERROR(VLOOKUP(A44, Race_2024_Seasonal!A:W, 15, FALSE), 0)</f>
        <v>-55733.332999999999</v>
      </c>
      <c r="M44" s="566">
        <f>IFERROR(VLOOKUP(A44, Race_2024_Seasonal!A:W, 16, FALSE), 0)</f>
        <v>-55733.332999999999</v>
      </c>
      <c r="N44" s="566">
        <f>IFERROR(VLOOKUP(A44, Race_2024_Seasonal!A:W, 17, FALSE), 0)</f>
        <v>-55733.332999999999</v>
      </c>
      <c r="O44" s="577">
        <f>IFERROR(VLOOKUP(A44, Race_2024_Seasonal!A:W, 18, FALSE), 0)</f>
        <v>-55733.332999999999</v>
      </c>
      <c r="Q44" s="575">
        <f t="shared" si="7"/>
        <v>-668799.99599999993</v>
      </c>
      <c r="R44" s="660"/>
      <c r="S44" s="630">
        <f>Q44-KeyData!H44</f>
        <v>0</v>
      </c>
    </row>
    <row r="45" spans="1:19" ht="12.75" customHeight="1" x14ac:dyDescent="0.25">
      <c r="A45" s="532" t="s">
        <v>1061</v>
      </c>
      <c r="C45" s="619" t="s">
        <v>455</v>
      </c>
      <c r="D45" s="566">
        <f>IFERROR(VLOOKUP(A45, Race_2024_Seasonal!A:W, 7, FALSE), 0)</f>
        <v>-9572.7369999999992</v>
      </c>
      <c r="E45" s="566">
        <f>IFERROR(VLOOKUP(A45, Race_2024_Seasonal!A:W, 8, FALSE), 0)</f>
        <v>-9572.7369999999992</v>
      </c>
      <c r="F45" s="566">
        <f>IFERROR(VLOOKUP(A45, Race_2024_Seasonal!A:W, 9, FALSE), 0)</f>
        <v>-9572.7369999999992</v>
      </c>
      <c r="G45" s="566">
        <f>IFERROR(VLOOKUP(A45, Race_2024_Seasonal!A:W, 10, FALSE), 0)</f>
        <v>-9572.7369999999992</v>
      </c>
      <c r="H45" s="566">
        <f>IFERROR(VLOOKUP(A45, Race_2024_Seasonal!A:W, 11, FALSE), 0)</f>
        <v>-9572.7369999999992</v>
      </c>
      <c r="I45" s="566">
        <f>IFERROR(VLOOKUP(A45, Race_2024_Seasonal!A:W, 12, FALSE), 0)</f>
        <v>-9572.7369999999992</v>
      </c>
      <c r="J45" s="566">
        <f>IFERROR(VLOOKUP(A45, Race_2024_Seasonal!A:W, 13, FALSE), 0)</f>
        <v>-9572.7369999999992</v>
      </c>
      <c r="K45" s="566">
        <f>IFERROR(VLOOKUP(A45, Race_2024_Seasonal!A:W, 14, FALSE), 0)</f>
        <v>-9572.7369999999992</v>
      </c>
      <c r="L45" s="566">
        <f>IFERROR(VLOOKUP(A45, Race_2024_Seasonal!A:W, 15, FALSE), 0)</f>
        <v>-9572.7369999999992</v>
      </c>
      <c r="M45" s="566">
        <f>IFERROR(VLOOKUP(A45, Race_2024_Seasonal!A:W, 16, FALSE), 0)</f>
        <v>-9572.7369999999992</v>
      </c>
      <c r="N45" s="566">
        <f>IFERROR(VLOOKUP(A45, Race_2024_Seasonal!A:W, 17, FALSE), 0)</f>
        <v>-9572.7369999999992</v>
      </c>
      <c r="O45" s="577">
        <f>IFERROR(VLOOKUP(A45, Race_2024_Seasonal!A:W, 18, FALSE), 0)</f>
        <v>-9572.7369999999992</v>
      </c>
      <c r="Q45" s="575">
        <f t="shared" si="7"/>
        <v>-114872.84399999997</v>
      </c>
      <c r="R45" s="660"/>
      <c r="S45" s="630">
        <f>Q45-KeyData!H45</f>
        <v>0</v>
      </c>
    </row>
    <row r="46" spans="1:19" ht="12.75" customHeight="1" x14ac:dyDescent="0.25">
      <c r="C46" s="618" t="s">
        <v>457</v>
      </c>
      <c r="D46" s="590">
        <f t="shared" ref="D46:O46" si="9">SUM(D41:D45)</f>
        <v>-111720.424</v>
      </c>
      <c r="E46" s="590">
        <f t="shared" si="9"/>
        <v>-111720.424</v>
      </c>
      <c r="F46" s="590">
        <f t="shared" si="9"/>
        <v>-111720.424</v>
      </c>
      <c r="G46" s="590">
        <f t="shared" si="9"/>
        <v>-111720.424</v>
      </c>
      <c r="H46" s="590">
        <f t="shared" si="9"/>
        <v>-111720.424</v>
      </c>
      <c r="I46" s="590">
        <f t="shared" si="9"/>
        <v>-111720.424</v>
      </c>
      <c r="J46" s="590">
        <f t="shared" si="9"/>
        <v>-111720.424</v>
      </c>
      <c r="K46" s="590">
        <f t="shared" si="9"/>
        <v>-111720.424</v>
      </c>
      <c r="L46" s="590">
        <f t="shared" si="9"/>
        <v>-111720.424</v>
      </c>
      <c r="M46" s="590">
        <f t="shared" si="9"/>
        <v>-111720.424</v>
      </c>
      <c r="N46" s="590">
        <f t="shared" si="9"/>
        <v>-111720.424</v>
      </c>
      <c r="O46" s="589">
        <f t="shared" si="9"/>
        <v>-111720.424</v>
      </c>
      <c r="Q46" s="587">
        <f t="shared" si="7"/>
        <v>-1340645.088</v>
      </c>
      <c r="R46" s="660"/>
      <c r="S46" s="630">
        <f>Q46-KeyData!H46</f>
        <v>0</v>
      </c>
    </row>
    <row r="47" spans="1:19" ht="12.75" customHeight="1" x14ac:dyDescent="0.25">
      <c r="S47" s="630">
        <f>Q47-KeyData!H47</f>
        <v>0</v>
      </c>
    </row>
    <row r="48" spans="1:19" ht="12.75" customHeight="1" x14ac:dyDescent="0.25">
      <c r="A48" s="827"/>
      <c r="B48" s="827"/>
      <c r="C48" s="616" t="s">
        <v>1062</v>
      </c>
      <c r="D48" s="818"/>
      <c r="E48" s="818"/>
      <c r="F48" s="818"/>
      <c r="G48" s="818"/>
      <c r="H48" s="818"/>
      <c r="I48" s="818"/>
      <c r="J48" s="818"/>
      <c r="K48" s="818"/>
      <c r="L48" s="818"/>
      <c r="M48" s="818"/>
      <c r="N48" s="818"/>
      <c r="O48" s="819"/>
      <c r="Q48" s="839"/>
      <c r="S48" s="630">
        <f>Q48-KeyData!H48</f>
        <v>0</v>
      </c>
    </row>
    <row r="49" spans="1:19" ht="12.75" customHeight="1" x14ac:dyDescent="0.25">
      <c r="A49" s="827"/>
      <c r="B49" s="827"/>
      <c r="C49" s="829" t="s">
        <v>1063</v>
      </c>
      <c r="D49" s="586">
        <f>SUM(D50:D60)</f>
        <v>41048.437000000005</v>
      </c>
      <c r="E49" s="586">
        <f t="shared" ref="E49:O49" si="10">SUM(E50:E60)</f>
        <v>41048.437000000005</v>
      </c>
      <c r="F49" s="586">
        <f t="shared" si="10"/>
        <v>41048.437000000005</v>
      </c>
      <c r="G49" s="586">
        <f t="shared" si="10"/>
        <v>41048.437000000005</v>
      </c>
      <c r="H49" s="586">
        <f t="shared" si="10"/>
        <v>41048.437000000005</v>
      </c>
      <c r="I49" s="586">
        <f t="shared" si="10"/>
        <v>41048.437000000005</v>
      </c>
      <c r="J49" s="586">
        <f t="shared" si="10"/>
        <v>41048.437000000005</v>
      </c>
      <c r="K49" s="586">
        <f t="shared" si="10"/>
        <v>216782.06899999996</v>
      </c>
      <c r="L49" s="586">
        <f t="shared" si="10"/>
        <v>41048.437000000005</v>
      </c>
      <c r="M49" s="586">
        <f t="shared" si="10"/>
        <v>41048.437000000005</v>
      </c>
      <c r="N49" s="586">
        <f t="shared" si="10"/>
        <v>41048.437000000005</v>
      </c>
      <c r="O49" s="585">
        <f t="shared" si="10"/>
        <v>41048.445999999996</v>
      </c>
      <c r="Q49" s="584">
        <f t="shared" ref="Q49:Q60" si="11">SUM(D49:O49)</f>
        <v>668314.88500000001</v>
      </c>
      <c r="S49" s="630">
        <f>Q49-KeyData!H49</f>
        <v>0</v>
      </c>
    </row>
    <row r="50" spans="1:19" ht="12.75" customHeight="1" x14ac:dyDescent="0.25">
      <c r="A50" s="827" t="s">
        <v>1064</v>
      </c>
      <c r="B50" s="827"/>
      <c r="C50" s="830" t="s">
        <v>1065</v>
      </c>
      <c r="D50" s="566">
        <f>IFERROR(VLOOKUP(A50, Race_2024_Seasonal!A:W, 7, FALSE), 0)</f>
        <v>0</v>
      </c>
      <c r="E50" s="566">
        <f>IFERROR(VLOOKUP(A50, Race_2024_Seasonal!A:W, 8, FALSE), 0)</f>
        <v>0</v>
      </c>
      <c r="F50" s="566">
        <f>IFERROR(VLOOKUP(A50, Race_2024_Seasonal!A:W, 9, FALSE), 0)</f>
        <v>0</v>
      </c>
      <c r="G50" s="566">
        <f>IFERROR(VLOOKUP(A50, Race_2024_Seasonal!A:W, 10, FALSE), 0)</f>
        <v>0</v>
      </c>
      <c r="H50" s="566">
        <f>IFERROR(VLOOKUP(A50, Race_2024_Seasonal!A:W, 11, FALSE), 0)</f>
        <v>0</v>
      </c>
      <c r="I50" s="566">
        <f>IFERROR(VLOOKUP(A50, Race_2024_Seasonal!A:W, 12, FALSE), 0)</f>
        <v>0</v>
      </c>
      <c r="J50" s="566">
        <f>IFERROR(VLOOKUP(A50, Race_2024_Seasonal!A:W, 13, FALSE), 0)</f>
        <v>0</v>
      </c>
      <c r="K50" s="566">
        <f>IFERROR(VLOOKUP(A50, Race_2024_Seasonal!A:W, 14, FALSE), 0)</f>
        <v>0</v>
      </c>
      <c r="L50" s="566">
        <f>IFERROR(VLOOKUP(A50, Race_2024_Seasonal!A:W, 15, FALSE), 0)</f>
        <v>0</v>
      </c>
      <c r="M50" s="566">
        <f>IFERROR(VLOOKUP(A50, Race_2024_Seasonal!A:W, 16, FALSE), 0)</f>
        <v>0</v>
      </c>
      <c r="N50" s="566">
        <f>IFERROR(VLOOKUP(A50, Race_2024_Seasonal!A:W, 17, FALSE), 0)</f>
        <v>0</v>
      </c>
      <c r="O50" s="577">
        <f>IFERROR(VLOOKUP(A50, Race_2024_Seasonal!A:W, 18, FALSE), 0)</f>
        <v>0</v>
      </c>
      <c r="Q50" s="575">
        <f t="shared" si="11"/>
        <v>0</v>
      </c>
      <c r="S50" s="630">
        <f>Q50-KeyData!H50</f>
        <v>0</v>
      </c>
    </row>
    <row r="51" spans="1:19" ht="12.75" customHeight="1" x14ac:dyDescent="0.25">
      <c r="A51" s="827" t="s">
        <v>1068</v>
      </c>
      <c r="B51" s="827"/>
      <c r="C51" s="830" t="s">
        <v>1069</v>
      </c>
      <c r="D51" s="566">
        <f>IFERROR(VLOOKUP(A51, Race_2024_Seasonal!A:W, 7, FALSE), 0)</f>
        <v>131.721</v>
      </c>
      <c r="E51" s="566">
        <f>IFERROR(VLOOKUP(A51, Race_2024_Seasonal!A:W, 8, FALSE), 0)</f>
        <v>131.721</v>
      </c>
      <c r="F51" s="566">
        <f>IFERROR(VLOOKUP(A51, Race_2024_Seasonal!A:W, 9, FALSE), 0)</f>
        <v>131.721</v>
      </c>
      <c r="G51" s="566">
        <f>IFERROR(VLOOKUP(A51, Race_2024_Seasonal!A:W, 10, FALSE), 0)</f>
        <v>131.721</v>
      </c>
      <c r="H51" s="566">
        <f>IFERROR(VLOOKUP(A51, Race_2024_Seasonal!A:W, 11, FALSE), 0)</f>
        <v>131.721</v>
      </c>
      <c r="I51" s="566">
        <f>IFERROR(VLOOKUP(A51, Race_2024_Seasonal!A:W, 12, FALSE), 0)</f>
        <v>131.721</v>
      </c>
      <c r="J51" s="566">
        <f>IFERROR(VLOOKUP(A51, Race_2024_Seasonal!A:W, 13, FALSE), 0)</f>
        <v>131.721</v>
      </c>
      <c r="K51" s="566">
        <f>IFERROR(VLOOKUP(A51, Race_2024_Seasonal!A:W, 14, FALSE), 0)</f>
        <v>131.721</v>
      </c>
      <c r="L51" s="566">
        <f>IFERROR(VLOOKUP(A51, Race_2024_Seasonal!A:W, 15, FALSE), 0)</f>
        <v>131.721</v>
      </c>
      <c r="M51" s="566">
        <f>IFERROR(VLOOKUP(A51, Race_2024_Seasonal!A:W, 16, FALSE), 0)</f>
        <v>131.721</v>
      </c>
      <c r="N51" s="566">
        <f>IFERROR(VLOOKUP(A51, Race_2024_Seasonal!A:W, 17, FALSE), 0)</f>
        <v>131.721</v>
      </c>
      <c r="O51" s="577">
        <f>IFERROR(VLOOKUP(A51, Race_2024_Seasonal!A:W, 18, FALSE), 0)</f>
        <v>131.726</v>
      </c>
      <c r="Q51" s="575">
        <f t="shared" si="11"/>
        <v>1580.6570000000002</v>
      </c>
      <c r="S51" s="630">
        <f>Q51-KeyData!H52</f>
        <v>0</v>
      </c>
    </row>
    <row r="52" spans="1:19" ht="12.75" customHeight="1" x14ac:dyDescent="0.25">
      <c r="A52" s="827" t="s">
        <v>1070</v>
      </c>
      <c r="B52" s="827"/>
      <c r="C52" s="830" t="s">
        <v>1071</v>
      </c>
      <c r="D52" s="566">
        <f>IFERROR(VLOOKUP(A52, Race_2024_Seasonal!A:W, 7, FALSE), 0)</f>
        <v>0</v>
      </c>
      <c r="E52" s="566">
        <f>IFERROR(VLOOKUP(A52, Race_2024_Seasonal!A:W, 8, FALSE), 0)</f>
        <v>0</v>
      </c>
      <c r="F52" s="566">
        <f>IFERROR(VLOOKUP(A52, Race_2024_Seasonal!A:W, 9, FALSE), 0)</f>
        <v>0</v>
      </c>
      <c r="G52" s="566">
        <f>IFERROR(VLOOKUP(A52, Race_2024_Seasonal!A:W, 10, FALSE), 0)</f>
        <v>0</v>
      </c>
      <c r="H52" s="566">
        <f>IFERROR(VLOOKUP(A52, Race_2024_Seasonal!A:W, 11, FALSE), 0)</f>
        <v>0</v>
      </c>
      <c r="I52" s="566">
        <f>IFERROR(VLOOKUP(A52, Race_2024_Seasonal!A:W, 12, FALSE), 0)</f>
        <v>0</v>
      </c>
      <c r="J52" s="566">
        <f>IFERROR(VLOOKUP(A52, Race_2024_Seasonal!A:W, 13, FALSE), 0)</f>
        <v>0</v>
      </c>
      <c r="K52" s="566">
        <f>IFERROR(VLOOKUP(A52, Race_2024_Seasonal!A:W, 14, FALSE), 0)</f>
        <v>0</v>
      </c>
      <c r="L52" s="566">
        <f>IFERROR(VLOOKUP(A52, Race_2024_Seasonal!A:W, 15, FALSE), 0)</f>
        <v>0</v>
      </c>
      <c r="M52" s="566">
        <f>IFERROR(VLOOKUP(A52, Race_2024_Seasonal!A:W, 16, FALSE), 0)</f>
        <v>0</v>
      </c>
      <c r="N52" s="566">
        <f>IFERROR(VLOOKUP(A52, Race_2024_Seasonal!A:W, 17, FALSE), 0)</f>
        <v>0</v>
      </c>
      <c r="O52" s="577">
        <f>IFERROR(VLOOKUP(A52, Race_2024_Seasonal!A:W, 18, FALSE), 0)</f>
        <v>0</v>
      </c>
      <c r="Q52" s="575">
        <f t="shared" si="11"/>
        <v>0</v>
      </c>
      <c r="S52" s="630">
        <f>Q52-KeyData!H53</f>
        <v>0</v>
      </c>
    </row>
    <row r="53" spans="1:19" ht="12.75" customHeight="1" x14ac:dyDescent="0.25">
      <c r="A53" s="827" t="s">
        <v>1072</v>
      </c>
      <c r="B53" s="827"/>
      <c r="C53" s="830" t="s">
        <v>1073</v>
      </c>
      <c r="D53" s="566">
        <f>IFERROR(VLOOKUP(A53, Race_2024_Seasonal!A:W, 7, FALSE), 0)</f>
        <v>17687.067999999999</v>
      </c>
      <c r="E53" s="566">
        <f>IFERROR(VLOOKUP(A53, Race_2024_Seasonal!A:W, 8, FALSE), 0)</f>
        <v>17687.067999999999</v>
      </c>
      <c r="F53" s="566">
        <f>IFERROR(VLOOKUP(A53, Race_2024_Seasonal!A:W, 9, FALSE), 0)</f>
        <v>17687.067999999999</v>
      </c>
      <c r="G53" s="566">
        <f>IFERROR(VLOOKUP(A53, Race_2024_Seasonal!A:W, 10, FALSE), 0)</f>
        <v>17687.067999999999</v>
      </c>
      <c r="H53" s="566">
        <f>IFERROR(VLOOKUP(A53, Race_2024_Seasonal!A:W, 11, FALSE), 0)</f>
        <v>17687.067999999999</v>
      </c>
      <c r="I53" s="566">
        <f>IFERROR(VLOOKUP(A53, Race_2024_Seasonal!A:W, 12, FALSE), 0)</f>
        <v>17687.067999999999</v>
      </c>
      <c r="J53" s="566">
        <f>IFERROR(VLOOKUP(A53, Race_2024_Seasonal!A:W, 13, FALSE), 0)</f>
        <v>17687.067999999999</v>
      </c>
      <c r="K53" s="566">
        <f>IFERROR(VLOOKUP(A53, Race_2024_Seasonal!A:W, 14, FALSE), 0)</f>
        <v>17687.067999999999</v>
      </c>
      <c r="L53" s="566">
        <f>IFERROR(VLOOKUP(A53, Race_2024_Seasonal!A:W, 15, FALSE), 0)</f>
        <v>17687.067999999999</v>
      </c>
      <c r="M53" s="566">
        <f>IFERROR(VLOOKUP(A53, Race_2024_Seasonal!A:W, 16, FALSE), 0)</f>
        <v>17687.067999999999</v>
      </c>
      <c r="N53" s="566">
        <f>IFERROR(VLOOKUP(A53, Race_2024_Seasonal!A:W, 17, FALSE), 0)</f>
        <v>17687.067999999999</v>
      </c>
      <c r="O53" s="577">
        <f>IFERROR(VLOOKUP(A53, Race_2024_Seasonal!A:W, 18, FALSE), 0)</f>
        <v>17687.067999999999</v>
      </c>
      <c r="Q53" s="575">
        <f t="shared" si="11"/>
        <v>212244.81599999999</v>
      </c>
      <c r="S53" s="630">
        <f>Q53-KeyData!H54</f>
        <v>0</v>
      </c>
    </row>
    <row r="54" spans="1:19" ht="12.75" customHeight="1" x14ac:dyDescent="0.25">
      <c r="A54" s="827" t="s">
        <v>1074</v>
      </c>
      <c r="B54" s="827"/>
      <c r="C54" s="830" t="s">
        <v>1075</v>
      </c>
      <c r="D54" s="566">
        <f>IFERROR(VLOOKUP(A54, Race_2024_Seasonal!A:W, 7, FALSE), 0)</f>
        <v>12232.004999999999</v>
      </c>
      <c r="E54" s="566">
        <f>IFERROR(VLOOKUP(A54, Race_2024_Seasonal!A:W, 8, FALSE), 0)</f>
        <v>12232.004999999999</v>
      </c>
      <c r="F54" s="566">
        <f>IFERROR(VLOOKUP(A54, Race_2024_Seasonal!A:W, 9, FALSE), 0)</f>
        <v>12232.004999999999</v>
      </c>
      <c r="G54" s="566">
        <f>IFERROR(VLOOKUP(A54, Race_2024_Seasonal!A:W, 10, FALSE), 0)</f>
        <v>12232.004999999999</v>
      </c>
      <c r="H54" s="566">
        <f>IFERROR(VLOOKUP(A54, Race_2024_Seasonal!A:W, 11, FALSE), 0)</f>
        <v>12232.004999999999</v>
      </c>
      <c r="I54" s="566">
        <f>IFERROR(VLOOKUP(A54, Race_2024_Seasonal!A:W, 12, FALSE), 0)</f>
        <v>12232.004999999999</v>
      </c>
      <c r="J54" s="566">
        <f>IFERROR(VLOOKUP(A54, Race_2024_Seasonal!A:W, 13, FALSE), 0)</f>
        <v>12232.004999999999</v>
      </c>
      <c r="K54" s="566">
        <f>IFERROR(VLOOKUP(A54, Race_2024_Seasonal!A:W, 14, FALSE), 0)</f>
        <v>187965.63699999999</v>
      </c>
      <c r="L54" s="566">
        <f>IFERROR(VLOOKUP(A54, Race_2024_Seasonal!A:W, 15, FALSE), 0)</f>
        <v>12232.004999999999</v>
      </c>
      <c r="M54" s="566">
        <f>IFERROR(VLOOKUP(A54, Race_2024_Seasonal!A:W, 16, FALSE), 0)</f>
        <v>12232.004999999999</v>
      </c>
      <c r="N54" s="566">
        <f>IFERROR(VLOOKUP(A54, Race_2024_Seasonal!A:W, 17, FALSE), 0)</f>
        <v>12232.004999999999</v>
      </c>
      <c r="O54" s="577">
        <f>IFERROR(VLOOKUP(A54, Race_2024_Seasonal!A:W, 18, FALSE), 0)</f>
        <v>12232.004999999999</v>
      </c>
      <c r="Q54" s="575">
        <f t="shared" si="11"/>
        <v>322517.69200000004</v>
      </c>
      <c r="S54" s="630">
        <f>Q54-KeyData!H55</f>
        <v>0</v>
      </c>
    </row>
    <row r="55" spans="1:19" ht="12.75" customHeight="1" x14ac:dyDescent="0.25">
      <c r="A55" s="827" t="s">
        <v>1076</v>
      </c>
      <c r="B55" s="827"/>
      <c r="C55" s="830" t="s">
        <v>1077</v>
      </c>
      <c r="D55" s="566">
        <f>IFERROR(VLOOKUP(A55, Race_2024_Seasonal!A:W, 7, FALSE), 0)</f>
        <v>0</v>
      </c>
      <c r="E55" s="566">
        <f>IFERROR(VLOOKUP(A55, Race_2024_Seasonal!A:W, 8, FALSE), 0)</f>
        <v>0</v>
      </c>
      <c r="F55" s="566">
        <f>IFERROR(VLOOKUP(A55, Race_2024_Seasonal!A:W, 9, FALSE), 0)</f>
        <v>0</v>
      </c>
      <c r="G55" s="566">
        <f>IFERROR(VLOOKUP(A55, Race_2024_Seasonal!A:W, 10, FALSE), 0)</f>
        <v>0</v>
      </c>
      <c r="H55" s="566">
        <f>IFERROR(VLOOKUP(A55, Race_2024_Seasonal!A:W, 11, FALSE), 0)</f>
        <v>0</v>
      </c>
      <c r="I55" s="566">
        <f>IFERROR(VLOOKUP(A55, Race_2024_Seasonal!A:W, 12, FALSE), 0)</f>
        <v>0</v>
      </c>
      <c r="J55" s="566">
        <f>IFERROR(VLOOKUP(A55, Race_2024_Seasonal!A:W, 13, FALSE), 0)</f>
        <v>0</v>
      </c>
      <c r="K55" s="566">
        <f>IFERROR(VLOOKUP(A55, Race_2024_Seasonal!A:W, 14, FALSE), 0)</f>
        <v>0</v>
      </c>
      <c r="L55" s="566">
        <f>IFERROR(VLOOKUP(A55, Race_2024_Seasonal!A:W, 15, FALSE), 0)</f>
        <v>0</v>
      </c>
      <c r="M55" s="566">
        <f>IFERROR(VLOOKUP(A55, Race_2024_Seasonal!A:W, 16, FALSE), 0)</f>
        <v>0</v>
      </c>
      <c r="N55" s="566">
        <f>IFERROR(VLOOKUP(A55, Race_2024_Seasonal!A:W, 17, FALSE), 0)</f>
        <v>0</v>
      </c>
      <c r="O55" s="577">
        <f>IFERROR(VLOOKUP(A55, Race_2024_Seasonal!A:W, 18, FALSE), 0)</f>
        <v>0</v>
      </c>
      <c r="Q55" s="575">
        <f t="shared" si="11"/>
        <v>0</v>
      </c>
      <c r="S55" s="630">
        <f>Q55-KeyData!H56</f>
        <v>0</v>
      </c>
    </row>
    <row r="56" spans="1:19" ht="12.75" customHeight="1" x14ac:dyDescent="0.25">
      <c r="A56" s="439" t="s">
        <v>1078</v>
      </c>
      <c r="B56" s="439"/>
      <c r="C56" s="830" t="s">
        <v>1079</v>
      </c>
      <c r="D56" s="566">
        <f>IFERROR(VLOOKUP(A56, Race_2024_Seasonal!A:W, 7, FALSE), 0)</f>
        <v>0</v>
      </c>
      <c r="E56" s="566">
        <f>IFERROR(VLOOKUP(A56, Race_2024_Seasonal!A:W, 8, FALSE), 0)</f>
        <v>0</v>
      </c>
      <c r="F56" s="566">
        <f>IFERROR(VLOOKUP(A56, Race_2024_Seasonal!A:W, 9, FALSE), 0)</f>
        <v>0</v>
      </c>
      <c r="G56" s="566">
        <f>IFERROR(VLOOKUP(A56, Race_2024_Seasonal!A:W, 10, FALSE), 0)</f>
        <v>0</v>
      </c>
      <c r="H56" s="566">
        <f>IFERROR(VLOOKUP(A56, Race_2024_Seasonal!A:W, 11, FALSE), 0)</f>
        <v>0</v>
      </c>
      <c r="I56" s="566">
        <f>IFERROR(VLOOKUP(A56, Race_2024_Seasonal!A:W, 12, FALSE), 0)</f>
        <v>0</v>
      </c>
      <c r="J56" s="566">
        <f>IFERROR(VLOOKUP(A56, Race_2024_Seasonal!A:W, 13, FALSE), 0)</f>
        <v>0</v>
      </c>
      <c r="K56" s="566">
        <f>IFERROR(VLOOKUP(A56, Race_2024_Seasonal!A:W, 14, FALSE), 0)</f>
        <v>0</v>
      </c>
      <c r="L56" s="566">
        <f>IFERROR(VLOOKUP(A56, Race_2024_Seasonal!A:W, 15, FALSE), 0)</f>
        <v>0</v>
      </c>
      <c r="M56" s="566">
        <f>IFERROR(VLOOKUP(A56, Race_2024_Seasonal!A:W, 16, FALSE), 0)</f>
        <v>0</v>
      </c>
      <c r="N56" s="566">
        <f>IFERROR(VLOOKUP(A56, Race_2024_Seasonal!A:W, 17, FALSE), 0)</f>
        <v>0</v>
      </c>
      <c r="O56" s="577">
        <f>IFERROR(VLOOKUP(A56, Race_2024_Seasonal!A:W, 18, FALSE), 0)</f>
        <v>0</v>
      </c>
      <c r="Q56" s="575">
        <f t="shared" si="11"/>
        <v>0</v>
      </c>
      <c r="S56" s="630">
        <f>Q56-KeyData!H57</f>
        <v>0</v>
      </c>
    </row>
    <row r="57" spans="1:19" ht="12.75" customHeight="1" x14ac:dyDescent="0.25">
      <c r="A57" s="439" t="s">
        <v>1080</v>
      </c>
      <c r="B57" s="439"/>
      <c r="C57" s="830" t="s">
        <v>1081</v>
      </c>
      <c r="D57" s="566">
        <f>IFERROR(VLOOKUP(A57, Race_2024_Seasonal!A:W, 7, FALSE), 0)</f>
        <v>804.98500000000001</v>
      </c>
      <c r="E57" s="566">
        <f>IFERROR(VLOOKUP(A57, Race_2024_Seasonal!A:W, 8, FALSE), 0)</f>
        <v>804.98500000000001</v>
      </c>
      <c r="F57" s="566">
        <f>IFERROR(VLOOKUP(A57, Race_2024_Seasonal!A:W, 9, FALSE), 0)</f>
        <v>804.98500000000001</v>
      </c>
      <c r="G57" s="566">
        <f>IFERROR(VLOOKUP(A57, Race_2024_Seasonal!A:W, 10, FALSE), 0)</f>
        <v>804.98500000000001</v>
      </c>
      <c r="H57" s="566">
        <f>IFERROR(VLOOKUP(A57, Race_2024_Seasonal!A:W, 11, FALSE), 0)</f>
        <v>804.98500000000001</v>
      </c>
      <c r="I57" s="566">
        <f>IFERROR(VLOOKUP(A57, Race_2024_Seasonal!A:W, 12, FALSE), 0)</f>
        <v>804.98500000000001</v>
      </c>
      <c r="J57" s="566">
        <f>IFERROR(VLOOKUP(A57, Race_2024_Seasonal!A:W, 13, FALSE), 0)</f>
        <v>804.98500000000001</v>
      </c>
      <c r="K57" s="566">
        <f>IFERROR(VLOOKUP(A57, Race_2024_Seasonal!A:W, 14, FALSE), 0)</f>
        <v>804.98500000000001</v>
      </c>
      <c r="L57" s="566">
        <f>IFERROR(VLOOKUP(A57, Race_2024_Seasonal!A:W, 15, FALSE), 0)</f>
        <v>804.98500000000001</v>
      </c>
      <c r="M57" s="566">
        <f>IFERROR(VLOOKUP(A57, Race_2024_Seasonal!A:W, 16, FALSE), 0)</f>
        <v>804.98500000000001</v>
      </c>
      <c r="N57" s="566">
        <f>IFERROR(VLOOKUP(A57, Race_2024_Seasonal!A:W, 17, FALSE), 0)</f>
        <v>804.98500000000001</v>
      </c>
      <c r="O57" s="577">
        <f>IFERROR(VLOOKUP(A57, Race_2024_Seasonal!A:W, 18, FALSE), 0)</f>
        <v>804.98500000000001</v>
      </c>
      <c r="Q57" s="575">
        <f t="shared" si="11"/>
        <v>9659.82</v>
      </c>
      <c r="S57" s="630">
        <f>Q57-KeyData!H58</f>
        <v>0</v>
      </c>
    </row>
    <row r="58" spans="1:19" ht="12.75" customHeight="1" x14ac:dyDescent="0.25">
      <c r="A58" s="439" t="s">
        <v>1082</v>
      </c>
      <c r="B58" s="439"/>
      <c r="C58" s="830" t="s">
        <v>1083</v>
      </c>
      <c r="D58" s="566">
        <f>IFERROR(VLOOKUP(A58, Race_2024_Seasonal!A:W, 7, FALSE), 0)</f>
        <v>0</v>
      </c>
      <c r="E58" s="566">
        <f>IFERROR(VLOOKUP(A58, Race_2024_Seasonal!A:W, 8, FALSE), 0)</f>
        <v>0</v>
      </c>
      <c r="F58" s="566">
        <f>IFERROR(VLOOKUP(A58, Race_2024_Seasonal!A:W, 9, FALSE), 0)</f>
        <v>0</v>
      </c>
      <c r="G58" s="566">
        <f>IFERROR(VLOOKUP(A58, Race_2024_Seasonal!A:W, 10, FALSE), 0)</f>
        <v>0</v>
      </c>
      <c r="H58" s="566">
        <f>IFERROR(VLOOKUP(A58, Race_2024_Seasonal!A:W, 11, FALSE), 0)</f>
        <v>0</v>
      </c>
      <c r="I58" s="566">
        <f>IFERROR(VLOOKUP(A58, Race_2024_Seasonal!A:W, 12, FALSE), 0)</f>
        <v>0</v>
      </c>
      <c r="J58" s="566">
        <f>IFERROR(VLOOKUP(A58, Race_2024_Seasonal!A:W, 13, FALSE), 0)</f>
        <v>0</v>
      </c>
      <c r="K58" s="566">
        <f>IFERROR(VLOOKUP(A58, Race_2024_Seasonal!A:W, 14, FALSE), 0)</f>
        <v>0</v>
      </c>
      <c r="L58" s="566">
        <f>IFERROR(VLOOKUP(A58, Race_2024_Seasonal!A:W, 15, FALSE), 0)</f>
        <v>0</v>
      </c>
      <c r="M58" s="566">
        <f>IFERROR(VLOOKUP(A58, Race_2024_Seasonal!A:W, 16, FALSE), 0)</f>
        <v>0</v>
      </c>
      <c r="N58" s="566">
        <f>IFERROR(VLOOKUP(A58, Race_2024_Seasonal!A:W, 17, FALSE), 0)</f>
        <v>0</v>
      </c>
      <c r="O58" s="577">
        <f>IFERROR(VLOOKUP(A58, Race_2024_Seasonal!A:W, 18, FALSE), 0)</f>
        <v>0</v>
      </c>
      <c r="Q58" s="575">
        <f t="shared" si="11"/>
        <v>0</v>
      </c>
      <c r="S58" s="630">
        <f>Q58-KeyData!H59</f>
        <v>0</v>
      </c>
    </row>
    <row r="59" spans="1:19" ht="12.75" customHeight="1" x14ac:dyDescent="0.25">
      <c r="A59" s="439" t="s">
        <v>1084</v>
      </c>
      <c r="B59" s="439"/>
      <c r="C59" s="830" t="s">
        <v>1085</v>
      </c>
      <c r="D59" s="566">
        <f>IFERROR(VLOOKUP(A59, Race_2024_Seasonal!A:W, 7, FALSE), 0)</f>
        <v>0</v>
      </c>
      <c r="E59" s="566">
        <f>IFERROR(VLOOKUP(A59, Race_2024_Seasonal!A:W, 8, FALSE), 0)</f>
        <v>0</v>
      </c>
      <c r="F59" s="566">
        <f>IFERROR(VLOOKUP(A59, Race_2024_Seasonal!A:W, 9, FALSE), 0)</f>
        <v>0</v>
      </c>
      <c r="G59" s="566">
        <f>IFERROR(VLOOKUP(A59, Race_2024_Seasonal!A:W, 10, FALSE), 0)</f>
        <v>0</v>
      </c>
      <c r="H59" s="566">
        <f>IFERROR(VLOOKUP(A59, Race_2024_Seasonal!A:W, 11, FALSE), 0)</f>
        <v>0</v>
      </c>
      <c r="I59" s="566">
        <f>IFERROR(VLOOKUP(A59, Race_2024_Seasonal!A:W, 12, FALSE), 0)</f>
        <v>0</v>
      </c>
      <c r="J59" s="566">
        <f>IFERROR(VLOOKUP(A59, Race_2024_Seasonal!A:W, 13, FALSE), 0)</f>
        <v>0</v>
      </c>
      <c r="K59" s="566">
        <f>IFERROR(VLOOKUP(A59, Race_2024_Seasonal!A:W, 14, FALSE), 0)</f>
        <v>0</v>
      </c>
      <c r="L59" s="566">
        <f>IFERROR(VLOOKUP(A59, Race_2024_Seasonal!A:W, 15, FALSE), 0)</f>
        <v>0</v>
      </c>
      <c r="M59" s="566">
        <f>IFERROR(VLOOKUP(A59, Race_2024_Seasonal!A:W, 16, FALSE), 0)</f>
        <v>0</v>
      </c>
      <c r="N59" s="566">
        <f>IFERROR(VLOOKUP(A59, Race_2024_Seasonal!A:W, 17, FALSE), 0)</f>
        <v>0</v>
      </c>
      <c r="O59" s="577">
        <f>IFERROR(VLOOKUP(A59, Race_2024_Seasonal!A:W, 18, FALSE), 0)</f>
        <v>0</v>
      </c>
      <c r="Q59" s="575">
        <f t="shared" si="11"/>
        <v>0</v>
      </c>
      <c r="S59" s="630">
        <f>Q59-KeyData!H60</f>
        <v>0</v>
      </c>
    </row>
    <row r="60" spans="1:19" ht="12.75" customHeight="1" x14ac:dyDescent="0.25">
      <c r="A60" s="439" t="s">
        <v>1086</v>
      </c>
      <c r="B60" s="439"/>
      <c r="C60" s="838" t="s">
        <v>1087</v>
      </c>
      <c r="D60" s="573">
        <f>IFERROR(VLOOKUP(A60, Race_2024_Seasonal!A:W, 7, FALSE), 0)</f>
        <v>10192.657999999999</v>
      </c>
      <c r="E60" s="573">
        <f>IFERROR(VLOOKUP(A60, Race_2024_Seasonal!A:W, 8, FALSE), 0)</f>
        <v>10192.657999999999</v>
      </c>
      <c r="F60" s="573">
        <f>IFERROR(VLOOKUP(A60, Race_2024_Seasonal!A:W, 9, FALSE), 0)</f>
        <v>10192.657999999999</v>
      </c>
      <c r="G60" s="573">
        <f>IFERROR(VLOOKUP(A60, Race_2024_Seasonal!A:W, 10, FALSE), 0)</f>
        <v>10192.657999999999</v>
      </c>
      <c r="H60" s="573">
        <f>IFERROR(VLOOKUP(A60, Race_2024_Seasonal!A:W, 11, FALSE), 0)</f>
        <v>10192.657999999999</v>
      </c>
      <c r="I60" s="573">
        <f>IFERROR(VLOOKUP(A60, Race_2024_Seasonal!A:W, 12, FALSE), 0)</f>
        <v>10192.657999999999</v>
      </c>
      <c r="J60" s="573">
        <f>IFERROR(VLOOKUP(A60, Race_2024_Seasonal!A:W, 13, FALSE), 0)</f>
        <v>10192.657999999999</v>
      </c>
      <c r="K60" s="573">
        <f>IFERROR(VLOOKUP(A60, Race_2024_Seasonal!A:W, 14, FALSE), 0)</f>
        <v>10192.657999999999</v>
      </c>
      <c r="L60" s="573">
        <f>IFERROR(VLOOKUP(A60, Race_2024_Seasonal!A:W, 15, FALSE), 0)</f>
        <v>10192.657999999999</v>
      </c>
      <c r="M60" s="573">
        <f>IFERROR(VLOOKUP(A60, Race_2024_Seasonal!A:W, 16, FALSE), 0)</f>
        <v>10192.657999999999</v>
      </c>
      <c r="N60" s="573">
        <f>IFERROR(VLOOKUP(A60, Race_2024_Seasonal!A:W, 17, FALSE), 0)</f>
        <v>10192.657999999999</v>
      </c>
      <c r="O60" s="572">
        <f>IFERROR(VLOOKUP(A60, Race_2024_Seasonal!A:W, 18, FALSE), 0)</f>
        <v>10192.662</v>
      </c>
      <c r="Q60" s="571">
        <f t="shared" si="11"/>
        <v>122311.89999999997</v>
      </c>
      <c r="S60" s="630">
        <f>Q60-KeyData!H61</f>
        <v>0</v>
      </c>
    </row>
    <row r="61" spans="1:19" ht="12.75" customHeight="1" x14ac:dyDescent="0.25">
      <c r="S61" s="630">
        <f>Q61-KeyData!H62</f>
        <v>0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selection activeCell="O1" sqref="O1"/>
    </sheetView>
  </sheetViews>
  <sheetFormatPr defaultRowHeight="15" x14ac:dyDescent="0.25"/>
  <cols>
    <col min="1" max="1" width="19.85546875" bestFit="1" customWidth="1"/>
    <col min="2" max="2" width="25" bestFit="1" customWidth="1"/>
    <col min="3" max="3" width="20.85546875" bestFit="1" customWidth="1"/>
    <col min="4" max="4" width="10.42578125" bestFit="1" customWidth="1"/>
    <col min="5" max="5" width="19.5703125" bestFit="1" customWidth="1"/>
    <col min="6" max="6" width="10.5703125" bestFit="1" customWidth="1"/>
    <col min="7" max="7" width="11" bestFit="1" customWidth="1"/>
    <col min="8" max="8" width="15.42578125" bestFit="1" customWidth="1"/>
    <col min="9" max="12" width="12.140625" bestFit="1" customWidth="1"/>
    <col min="13" max="13" width="8.28515625" bestFit="1" customWidth="1"/>
    <col min="14" max="14" width="9.7109375" bestFit="1" customWidth="1"/>
    <col min="15" max="16" width="8.28515625" bestFit="1" customWidth="1"/>
    <col min="17" max="18" width="8.28515625" style="602" bestFit="1" customWidth="1"/>
    <col min="19" max="21" width="8.28515625" bestFit="1" customWidth="1"/>
  </cols>
  <sheetData>
    <row r="1" spans="1:18" x14ac:dyDescent="0.25">
      <c r="B1" s="1004" t="s">
        <v>1103</v>
      </c>
      <c r="C1" s="1003"/>
      <c r="D1" s="1004" t="s">
        <v>1104</v>
      </c>
      <c r="E1" s="1004" t="s">
        <v>740</v>
      </c>
      <c r="F1" s="794" t="s">
        <v>1105</v>
      </c>
      <c r="G1" s="794" t="s">
        <v>1106</v>
      </c>
      <c r="H1" s="794" t="s">
        <v>1107</v>
      </c>
      <c r="I1" s="794" t="s">
        <v>1108</v>
      </c>
      <c r="J1" s="794" t="s">
        <v>1109</v>
      </c>
      <c r="K1" s="794" t="s">
        <v>1110</v>
      </c>
      <c r="L1" s="794" t="s">
        <v>1111</v>
      </c>
      <c r="N1" s="664" t="s">
        <v>1102</v>
      </c>
      <c r="O1" s="664" t="s">
        <v>1102</v>
      </c>
      <c r="P1" t="s">
        <v>1112</v>
      </c>
      <c r="Q1"/>
      <c r="R1"/>
    </row>
    <row r="2" spans="1:18" x14ac:dyDescent="0.25">
      <c r="A2" s="439" t="str">
        <f xml:space="preserve"> IFERROR(+B2*1,B2)&amp;"_"&amp;IFERROR(+D2*1,D2)</f>
        <v>122100000_100</v>
      </c>
      <c r="B2" s="1005" t="s">
        <v>1113</v>
      </c>
      <c r="C2" s="795" t="s">
        <v>1114</v>
      </c>
      <c r="D2" s="794" t="s">
        <v>1115</v>
      </c>
      <c r="E2" s="794" t="s">
        <v>1116</v>
      </c>
      <c r="F2" s="979"/>
      <c r="G2" s="979">
        <v>3386.05</v>
      </c>
      <c r="H2" s="979">
        <v>3876.192</v>
      </c>
      <c r="I2" s="979">
        <v>3386.05</v>
      </c>
      <c r="J2" s="979">
        <v>3876.192</v>
      </c>
      <c r="K2" s="979">
        <v>3876.192</v>
      </c>
      <c r="L2" s="982">
        <v>3876.192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 x14ac:dyDescent="0.25">
      <c r="A3" s="439" t="str">
        <f t="shared" ref="A3:A66" si="0" xml:space="preserve"> IFERROR(+B3*1,B3)&amp;"_"&amp;IFERROR(+D3*1,D3)</f>
        <v>122100000_110</v>
      </c>
      <c r="B3" s="1005" t="s">
        <v>1113</v>
      </c>
      <c r="C3" s="795" t="s">
        <v>1114</v>
      </c>
      <c r="D3" s="794" t="s">
        <v>1117</v>
      </c>
      <c r="E3" s="794" t="s">
        <v>1118</v>
      </c>
      <c r="F3" s="979"/>
      <c r="G3" s="979">
        <v>997.01700000000005</v>
      </c>
      <c r="H3" s="979">
        <v>432</v>
      </c>
      <c r="I3" s="979"/>
      <c r="J3" s="979"/>
      <c r="K3" s="979"/>
      <c r="L3" s="982">
        <v>1580.6569999999999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 x14ac:dyDescent="0.25">
      <c r="A4" s="439" t="str">
        <f t="shared" si="0"/>
        <v>122100000_120</v>
      </c>
      <c r="B4" s="1005" t="s">
        <v>1113</v>
      </c>
      <c r="C4" s="795" t="s">
        <v>1114</v>
      </c>
      <c r="D4" s="794" t="s">
        <v>1119</v>
      </c>
      <c r="E4" s="794" t="s">
        <v>1120</v>
      </c>
      <c r="F4" s="979"/>
      <c r="G4" s="979">
        <v>-58.241999999999997</v>
      </c>
      <c r="H4" s="979"/>
      <c r="I4" s="979"/>
      <c r="J4" s="979"/>
      <c r="K4" s="979"/>
      <c r="L4" s="982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 x14ac:dyDescent="0.25">
      <c r="A5" s="439" t="str">
        <f t="shared" si="0"/>
        <v>122100000_135</v>
      </c>
      <c r="B5" s="1005" t="s">
        <v>1113</v>
      </c>
      <c r="C5" s="795" t="s">
        <v>1114</v>
      </c>
      <c r="D5" s="794" t="s">
        <v>1140</v>
      </c>
      <c r="E5" s="794" t="s">
        <v>1141</v>
      </c>
      <c r="F5" s="979"/>
      <c r="G5" s="979"/>
      <c r="H5" s="979"/>
      <c r="I5" s="979"/>
      <c r="J5" s="979"/>
      <c r="K5" s="979"/>
      <c r="L5" s="982">
        <v>3344000</v>
      </c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 x14ac:dyDescent="0.25">
      <c r="A6" s="439" t="str">
        <f t="shared" si="0"/>
        <v>122100000_160</v>
      </c>
      <c r="B6" s="1005" t="s">
        <v>1113</v>
      </c>
      <c r="C6" s="795" t="s">
        <v>1114</v>
      </c>
      <c r="D6" s="794" t="s">
        <v>1121</v>
      </c>
      <c r="E6" s="794" t="s">
        <v>1122</v>
      </c>
      <c r="F6" s="979"/>
      <c r="G6" s="979">
        <v>0</v>
      </c>
      <c r="H6" s="979">
        <v>0</v>
      </c>
      <c r="I6" s="979"/>
      <c r="J6" s="979">
        <v>0</v>
      </c>
      <c r="K6" s="979">
        <v>0</v>
      </c>
      <c r="L6" s="982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 x14ac:dyDescent="0.25">
      <c r="A7" s="439" t="str">
        <f t="shared" si="0"/>
        <v>122100000_200</v>
      </c>
      <c r="B7" s="1005" t="s">
        <v>1113</v>
      </c>
      <c r="C7" s="795" t="s">
        <v>1114</v>
      </c>
      <c r="D7" s="794" t="s">
        <v>1123</v>
      </c>
      <c r="E7" s="794" t="s">
        <v>1116</v>
      </c>
      <c r="F7" s="979"/>
      <c r="G7" s="979">
        <v>-1623.704</v>
      </c>
      <c r="H7" s="979">
        <v>-2297.0219999999999</v>
      </c>
      <c r="I7" s="979">
        <v>-2509.1779999999999</v>
      </c>
      <c r="J7" s="979">
        <v>-2297.0219999999999</v>
      </c>
      <c r="K7" s="979">
        <v>-2297.0219999999999</v>
      </c>
      <c r="L7" s="982">
        <v>-3398.2860000000001</v>
      </c>
      <c r="M7" s="439"/>
      <c r="N7" t="e">
        <f>VLOOKUP(A7, 'P&amp;L'!A:B,1,FALSE)</f>
        <v>#N/A</v>
      </c>
      <c r="O7" t="e">
        <f>VLOOKUP(A7, KeyData!A:C,1,FALSE)</f>
        <v>#N/A</v>
      </c>
      <c r="P7" s="439"/>
    </row>
    <row r="8" spans="1:18" x14ac:dyDescent="0.25">
      <c r="A8" s="439" t="str">
        <f t="shared" si="0"/>
        <v>122100000_210</v>
      </c>
      <c r="B8" s="1005" t="s">
        <v>1113</v>
      </c>
      <c r="C8" s="795" t="s">
        <v>1114</v>
      </c>
      <c r="D8" s="794" t="s">
        <v>1124</v>
      </c>
      <c r="E8" s="794" t="s">
        <v>1125</v>
      </c>
      <c r="F8" s="979"/>
      <c r="G8" s="979">
        <v>-997.42</v>
      </c>
      <c r="H8" s="979">
        <v>-504.67200000000003</v>
      </c>
      <c r="I8" s="979">
        <v>-1026.144</v>
      </c>
      <c r="J8" s="979">
        <v>-933.26400000000001</v>
      </c>
      <c r="K8" s="979">
        <v>-1101.2639999999999</v>
      </c>
      <c r="L8" s="982">
        <v>-669907.35699999996</v>
      </c>
      <c r="M8" s="439"/>
      <c r="N8" t="e">
        <f>VLOOKUP(A8, 'P&amp;L'!A:B,1,FALSE)</f>
        <v>#N/A</v>
      </c>
      <c r="O8" t="e">
        <f>VLOOKUP(A8, KeyData!A:C,1,FALSE)</f>
        <v>#N/A</v>
      </c>
      <c r="P8" s="439"/>
    </row>
    <row r="9" spans="1:18" x14ac:dyDescent="0.25">
      <c r="A9" s="439" t="str">
        <f t="shared" si="0"/>
        <v>122100000_220</v>
      </c>
      <c r="B9" s="1005" t="s">
        <v>1113</v>
      </c>
      <c r="C9" s="795" t="s">
        <v>1114</v>
      </c>
      <c r="D9" s="794" t="s">
        <v>1126</v>
      </c>
      <c r="E9" s="794" t="s">
        <v>1127</v>
      </c>
      <c r="F9" s="979"/>
      <c r="G9" s="979">
        <v>58.241999999999997</v>
      </c>
      <c r="H9" s="979"/>
      <c r="I9" s="979"/>
      <c r="J9" s="979"/>
      <c r="K9" s="979"/>
      <c r="L9" s="982"/>
      <c r="M9" s="439"/>
      <c r="N9" t="e">
        <f>VLOOKUP(A9, 'P&amp;L'!A:B,1,FALSE)</f>
        <v>#N/A</v>
      </c>
      <c r="O9" t="e">
        <f>VLOOKUP(A9, KeyData!A:C,1,FALSE)</f>
        <v>#N/A</v>
      </c>
      <c r="P9" s="439"/>
    </row>
    <row r="10" spans="1:18" x14ac:dyDescent="0.25">
      <c r="A10" s="439" t="str">
        <f t="shared" si="0"/>
        <v>122100000_235</v>
      </c>
      <c r="B10" s="1005" t="s">
        <v>1113</v>
      </c>
      <c r="C10" s="795" t="s">
        <v>1114</v>
      </c>
      <c r="D10" s="794" t="s">
        <v>1146</v>
      </c>
      <c r="E10" s="794" t="s">
        <v>1147</v>
      </c>
      <c r="F10" s="979"/>
      <c r="G10" s="979"/>
      <c r="H10" s="979"/>
      <c r="I10" s="979"/>
      <c r="J10" s="979"/>
      <c r="K10" s="979"/>
      <c r="L10" s="982">
        <v>-2006400</v>
      </c>
      <c r="M10" s="439"/>
      <c r="N10" t="e">
        <f>VLOOKUP(A10, 'P&amp;L'!A:B,1,FALSE)</f>
        <v>#N/A</v>
      </c>
      <c r="O10" t="e">
        <f>VLOOKUP(A10, KeyData!A:C,1,FALSE)</f>
        <v>#N/A</v>
      </c>
      <c r="P10" s="439"/>
    </row>
    <row r="11" spans="1:18" x14ac:dyDescent="0.25">
      <c r="A11" s="439" t="str">
        <f t="shared" si="0"/>
        <v>122100000_260</v>
      </c>
      <c r="B11" s="1005" t="s">
        <v>1113</v>
      </c>
      <c r="C11" s="795" t="s">
        <v>1114</v>
      </c>
      <c r="D11" s="794" t="s">
        <v>1128</v>
      </c>
      <c r="E11" s="794" t="s">
        <v>1122</v>
      </c>
      <c r="F11" s="979"/>
      <c r="G11" s="979">
        <v>0</v>
      </c>
      <c r="H11" s="979">
        <v>0</v>
      </c>
      <c r="I11" s="979"/>
      <c r="J11" s="979">
        <v>0</v>
      </c>
      <c r="K11" s="979">
        <v>0</v>
      </c>
      <c r="L11" s="982"/>
      <c r="M11" s="439"/>
      <c r="N11" t="e">
        <f>VLOOKUP(A11, 'P&amp;L'!A:B,1,FALSE)</f>
        <v>#N/A</v>
      </c>
      <c r="O11" t="e">
        <f>VLOOKUP(A11, KeyData!A:C,1,FALSE)</f>
        <v>#N/A</v>
      </c>
      <c r="P11" s="439"/>
    </row>
    <row r="12" spans="1:18" x14ac:dyDescent="0.25">
      <c r="A12" s="439" t="str">
        <f t="shared" si="0"/>
        <v>122100000_Result</v>
      </c>
      <c r="B12" s="1005" t="s">
        <v>1113</v>
      </c>
      <c r="C12" s="795" t="s">
        <v>1114</v>
      </c>
      <c r="D12" s="824" t="s">
        <v>1129</v>
      </c>
      <c r="E12" s="822"/>
      <c r="F12" s="980"/>
      <c r="G12" s="980">
        <v>1761.943</v>
      </c>
      <c r="H12" s="980">
        <v>1506.498</v>
      </c>
      <c r="I12" s="980">
        <v>-149.27199999999999</v>
      </c>
      <c r="J12" s="980">
        <v>645.90599999999995</v>
      </c>
      <c r="K12" s="980">
        <v>477.90600000000001</v>
      </c>
      <c r="L12" s="983">
        <v>669751.20600000001</v>
      </c>
      <c r="M12" s="439"/>
      <c r="N12" t="e">
        <f>VLOOKUP(A12, 'P&amp;L'!A:B,1,FALSE)</f>
        <v>#N/A</v>
      </c>
      <c r="O12" t="e">
        <f>VLOOKUP(A12, KeyData!A:C,1,FALSE)</f>
        <v>#N/A</v>
      </c>
      <c r="P12" s="439"/>
    </row>
    <row r="13" spans="1:18" x14ac:dyDescent="0.25">
      <c r="A13" s="439" t="str">
        <f t="shared" si="0"/>
        <v>122137000_110</v>
      </c>
      <c r="B13" s="1006" t="s">
        <v>1130</v>
      </c>
      <c r="C13" s="796" t="s">
        <v>1131</v>
      </c>
      <c r="D13" s="794" t="s">
        <v>1117</v>
      </c>
      <c r="E13" s="794" t="s">
        <v>1118</v>
      </c>
      <c r="F13" s="979"/>
      <c r="G13" s="979"/>
      <c r="H13" s="979">
        <v>0</v>
      </c>
      <c r="I13" s="979"/>
      <c r="J13" s="979"/>
      <c r="K13" s="979"/>
      <c r="L13" s="982"/>
      <c r="M13" s="439"/>
      <c r="N13" t="e">
        <f>VLOOKUP(A13, 'P&amp;L'!A:B,1,FALSE)</f>
        <v>#N/A</v>
      </c>
      <c r="O13" t="str">
        <f>VLOOKUP(A13, KeyData!A:C,1,FALSE)</f>
        <v>122137000_110</v>
      </c>
      <c r="P13" s="439"/>
    </row>
    <row r="14" spans="1:18" x14ac:dyDescent="0.25">
      <c r="A14" s="439" t="str">
        <f t="shared" si="0"/>
        <v>122137000_160</v>
      </c>
      <c r="B14" s="1006" t="s">
        <v>1130</v>
      </c>
      <c r="C14" s="796" t="s">
        <v>1131</v>
      </c>
      <c r="D14" s="794" t="s">
        <v>1121</v>
      </c>
      <c r="E14" s="794" t="s">
        <v>1122</v>
      </c>
      <c r="F14" s="979"/>
      <c r="G14" s="979"/>
      <c r="H14" s="979">
        <v>0</v>
      </c>
      <c r="I14" s="979"/>
      <c r="J14" s="979"/>
      <c r="K14" s="979"/>
      <c r="L14" s="982"/>
      <c r="M14" s="439"/>
      <c r="N14" t="e">
        <f>VLOOKUP(A14, 'P&amp;L'!A:B,1,FALSE)</f>
        <v>#N/A</v>
      </c>
      <c r="O14" t="e">
        <f>VLOOKUP(A14, KeyData!A:C,1,FALSE)</f>
        <v>#N/A</v>
      </c>
      <c r="P14" s="439"/>
    </row>
    <row r="15" spans="1:18" x14ac:dyDescent="0.25">
      <c r="A15" s="439" t="str">
        <f t="shared" si="0"/>
        <v>122137000_Result</v>
      </c>
      <c r="B15" s="1006" t="s">
        <v>1130</v>
      </c>
      <c r="C15" s="796" t="s">
        <v>1131</v>
      </c>
      <c r="D15" s="824" t="s">
        <v>1129</v>
      </c>
      <c r="E15" s="822"/>
      <c r="F15" s="980"/>
      <c r="G15" s="980"/>
      <c r="H15" s="980">
        <v>0</v>
      </c>
      <c r="I15" s="980"/>
      <c r="J15" s="980"/>
      <c r="K15" s="980"/>
      <c r="L15" s="983"/>
      <c r="M15" s="439"/>
      <c r="N15" t="e">
        <f>VLOOKUP(A15, 'P&amp;L'!A:B,1,FALSE)</f>
        <v>#N/A</v>
      </c>
      <c r="O15" t="e">
        <f>VLOOKUP(A15, KeyData!A:C,1,FALSE)</f>
        <v>#N/A</v>
      </c>
      <c r="P15" s="439"/>
    </row>
    <row r="16" spans="1:18" x14ac:dyDescent="0.25">
      <c r="A16" s="439" t="str">
        <f t="shared" si="0"/>
        <v>122142000_100</v>
      </c>
      <c r="B16" s="1006" t="s">
        <v>1132</v>
      </c>
      <c r="C16" s="796" t="s">
        <v>1133</v>
      </c>
      <c r="D16" s="794" t="s">
        <v>1115</v>
      </c>
      <c r="E16" s="794" t="s">
        <v>1116</v>
      </c>
      <c r="F16" s="979"/>
      <c r="G16" s="979">
        <v>3386.05</v>
      </c>
      <c r="H16" s="979">
        <v>3876.192</v>
      </c>
      <c r="I16" s="979">
        <v>3386.05</v>
      </c>
      <c r="J16" s="979">
        <v>3876.192</v>
      </c>
      <c r="K16" s="979">
        <v>3876.192</v>
      </c>
      <c r="L16" s="982">
        <v>3876.192</v>
      </c>
      <c r="M16" s="439"/>
      <c r="N16" t="e">
        <f>VLOOKUP(A16, 'P&amp;L'!A:B,1,FALSE)</f>
        <v>#N/A</v>
      </c>
      <c r="O16" t="e">
        <f>VLOOKUP(A16, KeyData!A:C,1,FALSE)</f>
        <v>#N/A</v>
      </c>
      <c r="P16" s="439"/>
    </row>
    <row r="17" spans="1:16" x14ac:dyDescent="0.25">
      <c r="A17" s="439" t="str">
        <f t="shared" si="0"/>
        <v>122142000_110</v>
      </c>
      <c r="B17" s="1006" t="s">
        <v>1132</v>
      </c>
      <c r="C17" s="796" t="s">
        <v>1133</v>
      </c>
      <c r="D17" s="794" t="s">
        <v>1117</v>
      </c>
      <c r="E17" s="794" t="s">
        <v>1118</v>
      </c>
      <c r="F17" s="979"/>
      <c r="G17" s="979">
        <v>997.01700000000005</v>
      </c>
      <c r="H17" s="979">
        <v>432</v>
      </c>
      <c r="I17" s="979"/>
      <c r="J17" s="979"/>
      <c r="K17" s="979"/>
      <c r="L17" s="982">
        <v>1580.6569999999999</v>
      </c>
      <c r="M17" s="439"/>
      <c r="N17" t="e">
        <f>VLOOKUP(A17, 'P&amp;L'!A:B,1,FALSE)</f>
        <v>#N/A</v>
      </c>
      <c r="O17" t="str">
        <f>VLOOKUP(A17, KeyData!A:C,1,FALSE)</f>
        <v>122142000_110</v>
      </c>
      <c r="P17" s="439"/>
    </row>
    <row r="18" spans="1:16" x14ac:dyDescent="0.25">
      <c r="A18" s="439" t="str">
        <f t="shared" si="0"/>
        <v>122142000_120</v>
      </c>
      <c r="B18" s="1006" t="s">
        <v>1132</v>
      </c>
      <c r="C18" s="796" t="s">
        <v>1133</v>
      </c>
      <c r="D18" s="794" t="s">
        <v>1119</v>
      </c>
      <c r="E18" s="794" t="s">
        <v>1120</v>
      </c>
      <c r="F18" s="979"/>
      <c r="G18" s="979">
        <v>-58.241999999999997</v>
      </c>
      <c r="H18" s="979"/>
      <c r="I18" s="979"/>
      <c r="J18" s="979"/>
      <c r="K18" s="979"/>
      <c r="L18" s="982"/>
      <c r="M18" s="439"/>
      <c r="N18" t="e">
        <f>VLOOKUP(A18, 'P&amp;L'!A:B,1,FALSE)</f>
        <v>#N/A</v>
      </c>
      <c r="O18" t="e">
        <f>VLOOKUP(A18, KeyData!A:C,1,FALSE)</f>
        <v>#N/A</v>
      </c>
      <c r="P18" s="439"/>
    </row>
    <row r="19" spans="1:16" x14ac:dyDescent="0.25">
      <c r="A19" s="439" t="str">
        <f t="shared" si="0"/>
        <v>122142000_160</v>
      </c>
      <c r="B19" s="1006" t="s">
        <v>1132</v>
      </c>
      <c r="C19" s="796" t="s">
        <v>1133</v>
      </c>
      <c r="D19" s="794" t="s">
        <v>1121</v>
      </c>
      <c r="E19" s="794" t="s">
        <v>1122</v>
      </c>
      <c r="F19" s="979"/>
      <c r="G19" s="979">
        <v>0</v>
      </c>
      <c r="H19" s="979">
        <v>0</v>
      </c>
      <c r="I19" s="979"/>
      <c r="J19" s="979">
        <v>0</v>
      </c>
      <c r="K19" s="979">
        <v>0</v>
      </c>
      <c r="L19" s="982"/>
      <c r="M19" s="439"/>
      <c r="N19" t="e">
        <f>VLOOKUP(A19, 'P&amp;L'!A:B,1,FALSE)</f>
        <v>#N/A</v>
      </c>
      <c r="O19" t="e">
        <f>VLOOKUP(A19, KeyData!A:C,1,FALSE)</f>
        <v>#N/A</v>
      </c>
      <c r="P19" s="439"/>
    </row>
    <row r="20" spans="1:16" x14ac:dyDescent="0.25">
      <c r="A20" s="439" t="str">
        <f t="shared" si="0"/>
        <v>122142000_200</v>
      </c>
      <c r="B20" s="1006" t="s">
        <v>1132</v>
      </c>
      <c r="C20" s="796" t="s">
        <v>1133</v>
      </c>
      <c r="D20" s="794" t="s">
        <v>1123</v>
      </c>
      <c r="E20" s="794" t="s">
        <v>1116</v>
      </c>
      <c r="F20" s="979"/>
      <c r="G20" s="979">
        <v>-1623.704</v>
      </c>
      <c r="H20" s="979">
        <v>-2297.0219999999999</v>
      </c>
      <c r="I20" s="979">
        <v>-2509.1779999999999</v>
      </c>
      <c r="J20" s="979">
        <v>-2297.0219999999999</v>
      </c>
      <c r="K20" s="979">
        <v>-2297.0219999999999</v>
      </c>
      <c r="L20" s="982">
        <v>-3398.2860000000001</v>
      </c>
      <c r="M20" s="439"/>
      <c r="N20" t="e">
        <f>VLOOKUP(A20, 'P&amp;L'!A:B,1,FALSE)</f>
        <v>#N/A</v>
      </c>
      <c r="O20" t="e">
        <f>VLOOKUP(A20, KeyData!A:C,1,FALSE)</f>
        <v>#N/A</v>
      </c>
      <c r="P20" s="439"/>
    </row>
    <row r="21" spans="1:16" x14ac:dyDescent="0.25">
      <c r="A21" s="439" t="str">
        <f t="shared" si="0"/>
        <v>122142000_210</v>
      </c>
      <c r="B21" s="1006" t="s">
        <v>1132</v>
      </c>
      <c r="C21" s="796" t="s">
        <v>1133</v>
      </c>
      <c r="D21" s="794" t="s">
        <v>1124</v>
      </c>
      <c r="E21" s="794" t="s">
        <v>1125</v>
      </c>
      <c r="F21" s="979"/>
      <c r="G21" s="979">
        <v>-997.42</v>
      </c>
      <c r="H21" s="979">
        <v>-504.67200000000003</v>
      </c>
      <c r="I21" s="979">
        <v>-1026.144</v>
      </c>
      <c r="J21" s="979">
        <v>-933.26400000000001</v>
      </c>
      <c r="K21" s="979">
        <v>-1101.2639999999999</v>
      </c>
      <c r="L21" s="982">
        <v>-1107.3610000000001</v>
      </c>
      <c r="M21" s="439"/>
      <c r="N21" t="e">
        <f>VLOOKUP(A21, 'P&amp;L'!A:B,1,FALSE)</f>
        <v>#N/A</v>
      </c>
      <c r="O21" t="e">
        <f>VLOOKUP(A21, KeyData!A:C,1,FALSE)</f>
        <v>#N/A</v>
      </c>
      <c r="P21" s="439"/>
    </row>
    <row r="22" spans="1:16" x14ac:dyDescent="0.25">
      <c r="A22" s="439" t="str">
        <f t="shared" si="0"/>
        <v>122142000_220</v>
      </c>
      <c r="B22" s="1006" t="s">
        <v>1132</v>
      </c>
      <c r="C22" s="796" t="s">
        <v>1133</v>
      </c>
      <c r="D22" s="794" t="s">
        <v>1126</v>
      </c>
      <c r="E22" s="794" t="s">
        <v>1127</v>
      </c>
      <c r="F22" s="979"/>
      <c r="G22" s="979">
        <v>58.241999999999997</v>
      </c>
      <c r="H22" s="979"/>
      <c r="I22" s="979"/>
      <c r="J22" s="979"/>
      <c r="K22" s="979"/>
      <c r="L22" s="982"/>
      <c r="M22" s="439"/>
      <c r="N22" t="e">
        <f>VLOOKUP(A22, 'P&amp;L'!A:B,1,FALSE)</f>
        <v>#N/A</v>
      </c>
      <c r="O22" t="e">
        <f>VLOOKUP(A22, KeyData!A:C,1,FALSE)</f>
        <v>#N/A</v>
      </c>
      <c r="P22" s="439"/>
    </row>
    <row r="23" spans="1:16" x14ac:dyDescent="0.25">
      <c r="A23" s="439" t="str">
        <f t="shared" si="0"/>
        <v>122142000_260</v>
      </c>
      <c r="B23" s="1006" t="s">
        <v>1132</v>
      </c>
      <c r="C23" s="796" t="s">
        <v>1133</v>
      </c>
      <c r="D23" s="794" t="s">
        <v>1128</v>
      </c>
      <c r="E23" s="794" t="s">
        <v>1122</v>
      </c>
      <c r="F23" s="979"/>
      <c r="G23" s="979">
        <v>0</v>
      </c>
      <c r="H23" s="979">
        <v>0</v>
      </c>
      <c r="I23" s="979"/>
      <c r="J23" s="979">
        <v>0</v>
      </c>
      <c r="K23" s="979">
        <v>0</v>
      </c>
      <c r="L23" s="982"/>
      <c r="M23" s="439"/>
      <c r="N23" t="e">
        <f>VLOOKUP(A23, 'P&amp;L'!A:B,1,FALSE)</f>
        <v>#N/A</v>
      </c>
      <c r="O23" t="e">
        <f>VLOOKUP(A23, KeyData!A:C,1,FALSE)</f>
        <v>#N/A</v>
      </c>
      <c r="P23" s="439"/>
    </row>
    <row r="24" spans="1:16" x14ac:dyDescent="0.25">
      <c r="A24" s="439" t="str">
        <f t="shared" si="0"/>
        <v>122142000_Result</v>
      </c>
      <c r="B24" s="1006" t="s">
        <v>1132</v>
      </c>
      <c r="C24" s="796" t="s">
        <v>1133</v>
      </c>
      <c r="D24" s="824" t="s">
        <v>1129</v>
      </c>
      <c r="E24" s="822"/>
      <c r="F24" s="980"/>
      <c r="G24" s="980">
        <v>1761.943</v>
      </c>
      <c r="H24" s="980">
        <v>1506.498</v>
      </c>
      <c r="I24" s="980">
        <v>-149.27199999999999</v>
      </c>
      <c r="J24" s="980">
        <v>645.90599999999995</v>
      </c>
      <c r="K24" s="980">
        <v>477.90600000000001</v>
      </c>
      <c r="L24" s="983">
        <v>951.202</v>
      </c>
      <c r="M24" s="439"/>
      <c r="N24" t="e">
        <f>VLOOKUP(A24, 'P&amp;L'!A:B,1,FALSE)</f>
        <v>#N/A</v>
      </c>
      <c r="O24" t="e">
        <f>VLOOKUP(A24, KeyData!A:C,1,FALSE)</f>
        <v>#N/A</v>
      </c>
      <c r="P24" s="439"/>
    </row>
    <row r="25" spans="1:16" x14ac:dyDescent="0.25">
      <c r="A25" s="439" t="str">
        <f t="shared" si="0"/>
        <v>122152000_135</v>
      </c>
      <c r="B25" s="1006" t="s">
        <v>1512</v>
      </c>
      <c r="C25" s="796" t="s">
        <v>1114</v>
      </c>
      <c r="D25" s="794" t="s">
        <v>1140</v>
      </c>
      <c r="E25" s="794" t="s">
        <v>1141</v>
      </c>
      <c r="F25" s="979"/>
      <c r="G25" s="979"/>
      <c r="H25" s="979"/>
      <c r="I25" s="979"/>
      <c r="J25" s="979"/>
      <c r="K25" s="979"/>
      <c r="L25" s="982">
        <v>3344000</v>
      </c>
      <c r="M25" s="439"/>
      <c r="N25" t="e">
        <f>VLOOKUP(A25, 'P&amp;L'!A:B,1,FALSE)</f>
        <v>#N/A</v>
      </c>
      <c r="O25" t="e">
        <f>VLOOKUP(A25, KeyData!A:C,1,FALSE)</f>
        <v>#N/A</v>
      </c>
      <c r="P25" s="439"/>
    </row>
    <row r="26" spans="1:16" x14ac:dyDescent="0.25">
      <c r="A26" s="439" t="str">
        <f t="shared" si="0"/>
        <v>122152000_210</v>
      </c>
      <c r="B26" s="1006" t="s">
        <v>1512</v>
      </c>
      <c r="C26" s="796" t="s">
        <v>1114</v>
      </c>
      <c r="D26" s="794" t="s">
        <v>1124</v>
      </c>
      <c r="E26" s="794" t="s">
        <v>1125</v>
      </c>
      <c r="F26" s="979"/>
      <c r="G26" s="979"/>
      <c r="H26" s="979"/>
      <c r="I26" s="979"/>
      <c r="J26" s="979"/>
      <c r="K26" s="979"/>
      <c r="L26" s="982">
        <v>-668799.99600000004</v>
      </c>
      <c r="M26" s="439"/>
      <c r="N26" t="e">
        <f>VLOOKUP(A26, 'P&amp;L'!A:B,1,FALSE)</f>
        <v>#N/A</v>
      </c>
      <c r="O26" t="e">
        <f>VLOOKUP(A26, KeyData!A:C,1,FALSE)</f>
        <v>#N/A</v>
      </c>
      <c r="P26" s="439"/>
    </row>
    <row r="27" spans="1:16" x14ac:dyDescent="0.25">
      <c r="A27" s="439" t="str">
        <f t="shared" si="0"/>
        <v>122152000_235</v>
      </c>
      <c r="B27" s="1006" t="s">
        <v>1512</v>
      </c>
      <c r="C27" s="796" t="s">
        <v>1114</v>
      </c>
      <c r="D27" s="794" t="s">
        <v>1146</v>
      </c>
      <c r="E27" s="794" t="s">
        <v>1147</v>
      </c>
      <c r="F27" s="979"/>
      <c r="G27" s="979"/>
      <c r="H27" s="979"/>
      <c r="I27" s="979"/>
      <c r="J27" s="979"/>
      <c r="K27" s="979"/>
      <c r="L27" s="982">
        <v>-2006400</v>
      </c>
      <c r="M27" s="439"/>
      <c r="N27" t="e">
        <f>VLOOKUP(A27, 'P&amp;L'!A:B,1,FALSE)</f>
        <v>#N/A</v>
      </c>
      <c r="O27" t="e">
        <f>VLOOKUP(A27, KeyData!A:C,1,FALSE)</f>
        <v>#N/A</v>
      </c>
      <c r="P27" s="439"/>
    </row>
    <row r="28" spans="1:16" x14ac:dyDescent="0.25">
      <c r="A28" s="439" t="str">
        <f t="shared" si="0"/>
        <v>122152000_Result</v>
      </c>
      <c r="B28" s="1006" t="s">
        <v>1512</v>
      </c>
      <c r="C28" s="796" t="s">
        <v>1114</v>
      </c>
      <c r="D28" s="824" t="s">
        <v>1129</v>
      </c>
      <c r="E28" s="822"/>
      <c r="F28" s="980"/>
      <c r="G28" s="980"/>
      <c r="H28" s="980"/>
      <c r="I28" s="980"/>
      <c r="J28" s="980"/>
      <c r="K28" s="980"/>
      <c r="L28" s="983">
        <v>668800.00399999996</v>
      </c>
      <c r="M28" s="439"/>
      <c r="N28" t="e">
        <f>VLOOKUP(A28, 'P&amp;L'!A:B,1,FALSE)</f>
        <v>#N/A</v>
      </c>
      <c r="O28" t="e">
        <f>VLOOKUP(A28, KeyData!A:C,1,FALSE)</f>
        <v>#N/A</v>
      </c>
      <c r="P28" s="439"/>
    </row>
    <row r="29" spans="1:16" x14ac:dyDescent="0.25">
      <c r="A29" s="439" t="str">
        <f t="shared" si="0"/>
        <v>122600000_100</v>
      </c>
      <c r="B29" s="1005" t="s">
        <v>1134</v>
      </c>
      <c r="C29" s="795" t="s">
        <v>1135</v>
      </c>
      <c r="D29" s="794" t="s">
        <v>1115</v>
      </c>
      <c r="E29" s="794" t="s">
        <v>1116</v>
      </c>
      <c r="F29" s="979"/>
      <c r="G29" s="979">
        <v>2182717.1030000001</v>
      </c>
      <c r="H29" s="979">
        <v>2838440.2209999999</v>
      </c>
      <c r="I29" s="979">
        <v>2941764.2459999998</v>
      </c>
      <c r="J29" s="979">
        <v>2838440.2209999999</v>
      </c>
      <c r="K29" s="979">
        <v>2838440.2209999999</v>
      </c>
      <c r="L29" s="982">
        <v>3220031.443</v>
      </c>
      <c r="M29" s="439"/>
      <c r="N29" t="e">
        <f>VLOOKUP(A29, 'P&amp;L'!A:B,1,FALSE)</f>
        <v>#N/A</v>
      </c>
      <c r="O29" t="e">
        <f>VLOOKUP(A29, KeyData!A:C,1,FALSE)</f>
        <v>#N/A</v>
      </c>
      <c r="P29" s="439"/>
    </row>
    <row r="30" spans="1:16" x14ac:dyDescent="0.25">
      <c r="A30" s="439" t="str">
        <f t="shared" si="0"/>
        <v>122600000_110</v>
      </c>
      <c r="B30" s="1005" t="s">
        <v>1134</v>
      </c>
      <c r="C30" s="795" t="s">
        <v>1135</v>
      </c>
      <c r="D30" s="794" t="s">
        <v>1117</v>
      </c>
      <c r="E30" s="794" t="s">
        <v>1118</v>
      </c>
      <c r="F30" s="979"/>
      <c r="G30" s="979">
        <v>819455.05299999996</v>
      </c>
      <c r="H30" s="979">
        <v>166080.69500000001</v>
      </c>
      <c r="I30" s="979">
        <v>661257.06499999994</v>
      </c>
      <c r="J30" s="979">
        <v>579672.83400000003</v>
      </c>
      <c r="K30" s="979">
        <v>473010.179</v>
      </c>
      <c r="L30" s="982">
        <v>670128.576</v>
      </c>
      <c r="M30" s="439"/>
      <c r="N30" t="e">
        <f>VLOOKUP(A30, 'P&amp;L'!A:B,1,FALSE)</f>
        <v>#N/A</v>
      </c>
      <c r="O30" t="e">
        <f>VLOOKUP(A30, KeyData!A:C,1,FALSE)</f>
        <v>#N/A</v>
      </c>
      <c r="P30" s="439"/>
    </row>
    <row r="31" spans="1:16" x14ac:dyDescent="0.25">
      <c r="A31" s="439" t="str">
        <f t="shared" si="0"/>
        <v>122600000_120</v>
      </c>
      <c r="B31" s="1005" t="s">
        <v>1134</v>
      </c>
      <c r="C31" s="795" t="s">
        <v>1135</v>
      </c>
      <c r="D31" s="794" t="s">
        <v>1119</v>
      </c>
      <c r="E31" s="794" t="s">
        <v>1120</v>
      </c>
      <c r="F31" s="979"/>
      <c r="G31" s="979">
        <v>-34980.050000000003</v>
      </c>
      <c r="H31" s="979"/>
      <c r="I31" s="979"/>
      <c r="J31" s="979"/>
      <c r="K31" s="979"/>
      <c r="L31" s="982"/>
      <c r="M31" s="439"/>
      <c r="N31" t="e">
        <f>VLOOKUP(A31, 'P&amp;L'!A:B,1,FALSE)</f>
        <v>#N/A</v>
      </c>
      <c r="O31" t="e">
        <f>VLOOKUP(A31, KeyData!A:C,1,FALSE)</f>
        <v>#N/A</v>
      </c>
      <c r="P31" s="439"/>
    </row>
    <row r="32" spans="1:16" x14ac:dyDescent="0.25">
      <c r="A32" s="439" t="str">
        <f t="shared" si="0"/>
        <v>122600000_122</v>
      </c>
      <c r="B32" s="1005" t="s">
        <v>1134</v>
      </c>
      <c r="C32" s="795" t="s">
        <v>1135</v>
      </c>
      <c r="D32" s="794" t="s">
        <v>1136</v>
      </c>
      <c r="E32" s="794" t="s">
        <v>1137</v>
      </c>
      <c r="F32" s="979"/>
      <c r="G32" s="979">
        <v>-3778.788</v>
      </c>
      <c r="H32" s="979">
        <v>-931.60799999999995</v>
      </c>
      <c r="I32" s="979"/>
      <c r="J32" s="979">
        <v>-931.60799999999995</v>
      </c>
      <c r="K32" s="979">
        <v>-931.60799999999995</v>
      </c>
      <c r="L32" s="982"/>
      <c r="M32" s="439"/>
      <c r="N32" t="e">
        <f>VLOOKUP(A32, 'P&amp;L'!A:B,1,FALSE)</f>
        <v>#N/A</v>
      </c>
      <c r="O32" t="e">
        <f>VLOOKUP(A32, KeyData!A:C,1,FALSE)</f>
        <v>#N/A</v>
      </c>
      <c r="P32" s="439"/>
    </row>
    <row r="33" spans="1:16" x14ac:dyDescent="0.25">
      <c r="A33" s="439" t="str">
        <f t="shared" si="0"/>
        <v>122600000_130</v>
      </c>
      <c r="B33" s="1005" t="s">
        <v>1134</v>
      </c>
      <c r="C33" s="795" t="s">
        <v>1135</v>
      </c>
      <c r="D33" s="794" t="s">
        <v>1138</v>
      </c>
      <c r="E33" s="794" t="s">
        <v>1139</v>
      </c>
      <c r="F33" s="979"/>
      <c r="G33" s="979">
        <v>0</v>
      </c>
      <c r="H33" s="979">
        <v>0</v>
      </c>
      <c r="I33" s="979"/>
      <c r="J33" s="979"/>
      <c r="K33" s="979"/>
      <c r="L33" s="982"/>
      <c r="M33" s="439"/>
      <c r="N33" t="e">
        <f>VLOOKUP(A33, 'P&amp;L'!A:B,1,FALSE)</f>
        <v>#N/A</v>
      </c>
      <c r="O33" t="e">
        <f>VLOOKUP(A33, KeyData!A:C,1,FALSE)</f>
        <v>#N/A</v>
      </c>
      <c r="P33" s="439"/>
    </row>
    <row r="34" spans="1:16" x14ac:dyDescent="0.25">
      <c r="A34" s="439" t="str">
        <f t="shared" si="0"/>
        <v>122600000_135</v>
      </c>
      <c r="B34" s="1005" t="s">
        <v>1134</v>
      </c>
      <c r="C34" s="795" t="s">
        <v>1135</v>
      </c>
      <c r="D34" s="794" t="s">
        <v>1140</v>
      </c>
      <c r="E34" s="794" t="s">
        <v>1141</v>
      </c>
      <c r="F34" s="979"/>
      <c r="G34" s="979">
        <v>4605.375</v>
      </c>
      <c r="H34" s="979">
        <v>246.227</v>
      </c>
      <c r="I34" s="979"/>
      <c r="J34" s="979">
        <v>1190.9259999999999</v>
      </c>
      <c r="K34" s="979">
        <v>1190.9259999999999</v>
      </c>
      <c r="L34" s="982"/>
      <c r="M34" s="439"/>
      <c r="N34" t="e">
        <f>VLOOKUP(A34, 'P&amp;L'!A:B,1,FALSE)</f>
        <v>#N/A</v>
      </c>
      <c r="O34" t="e">
        <f>VLOOKUP(A34, KeyData!A:C,1,FALSE)</f>
        <v>#N/A</v>
      </c>
      <c r="P34" s="439"/>
    </row>
    <row r="35" spans="1:16" x14ac:dyDescent="0.25">
      <c r="A35" s="439" t="str">
        <f t="shared" si="0"/>
        <v>122600000_160</v>
      </c>
      <c r="B35" s="1005" t="s">
        <v>1134</v>
      </c>
      <c r="C35" s="795" t="s">
        <v>1135</v>
      </c>
      <c r="D35" s="794" t="s">
        <v>1121</v>
      </c>
      <c r="E35" s="794" t="s">
        <v>1122</v>
      </c>
      <c r="F35" s="979"/>
      <c r="G35" s="979">
        <v>0</v>
      </c>
      <c r="H35" s="979">
        <v>0</v>
      </c>
      <c r="I35" s="979"/>
      <c r="J35" s="979">
        <v>0</v>
      </c>
      <c r="K35" s="979">
        <v>0</v>
      </c>
      <c r="L35" s="982"/>
      <c r="M35" s="439"/>
      <c r="N35" t="e">
        <f>VLOOKUP(A35, 'P&amp;L'!A:B,1,FALSE)</f>
        <v>#N/A</v>
      </c>
      <c r="O35" t="e">
        <f>VLOOKUP(A35, KeyData!A:C,1,FALSE)</f>
        <v>#N/A</v>
      </c>
      <c r="P35" s="439"/>
    </row>
    <row r="36" spans="1:16" x14ac:dyDescent="0.25">
      <c r="A36" s="439" t="str">
        <f t="shared" si="0"/>
        <v>122600000_200</v>
      </c>
      <c r="B36" s="1005" t="s">
        <v>1134</v>
      </c>
      <c r="C36" s="795" t="s">
        <v>1135</v>
      </c>
      <c r="D36" s="794" t="s">
        <v>1123</v>
      </c>
      <c r="E36" s="794" t="s">
        <v>1116</v>
      </c>
      <c r="F36" s="979"/>
      <c r="G36" s="979">
        <v>-1444171.5549999999</v>
      </c>
      <c r="H36" s="979">
        <v>-1532336.987</v>
      </c>
      <c r="I36" s="979">
        <v>-1664800.6510000001</v>
      </c>
      <c r="J36" s="979">
        <v>-1532336.987</v>
      </c>
      <c r="K36" s="979">
        <v>-1532336.987</v>
      </c>
      <c r="L36" s="982">
        <v>-1724369.8019999999</v>
      </c>
      <c r="M36" s="439"/>
      <c r="N36" t="e">
        <f>VLOOKUP(A36, 'P&amp;L'!A:B,1,FALSE)</f>
        <v>#N/A</v>
      </c>
      <c r="O36" t="e">
        <f>VLOOKUP(A36, KeyData!A:C,1,FALSE)</f>
        <v>#N/A</v>
      </c>
      <c r="P36" s="439"/>
    </row>
    <row r="37" spans="1:16" x14ac:dyDescent="0.25">
      <c r="A37" s="439" t="str">
        <f t="shared" si="0"/>
        <v>122600000_210</v>
      </c>
      <c r="B37" s="1005" t="s">
        <v>1134</v>
      </c>
      <c r="C37" s="795" t="s">
        <v>1135</v>
      </c>
      <c r="D37" s="794" t="s">
        <v>1124</v>
      </c>
      <c r="E37" s="794" t="s">
        <v>1125</v>
      </c>
      <c r="F37" s="979"/>
      <c r="G37" s="979">
        <v>-160295.50599999999</v>
      </c>
      <c r="H37" s="979">
        <v>-94277.942999999999</v>
      </c>
      <c r="I37" s="979">
        <v>-223142.508</v>
      </c>
      <c r="J37" s="979">
        <v>-180354.60699999999</v>
      </c>
      <c r="K37" s="979">
        <v>-180542.70199999999</v>
      </c>
      <c r="L37" s="982">
        <v>-223051.89799999999</v>
      </c>
      <c r="M37" s="439"/>
      <c r="N37" t="e">
        <f>VLOOKUP(A37, 'P&amp;L'!A:B,1,FALSE)</f>
        <v>#N/A</v>
      </c>
      <c r="O37" t="e">
        <f>VLOOKUP(A37, KeyData!A:C,1,FALSE)</f>
        <v>#N/A</v>
      </c>
      <c r="P37" s="439"/>
    </row>
    <row r="38" spans="1:16" x14ac:dyDescent="0.25">
      <c r="A38" s="439" t="str">
        <f t="shared" si="0"/>
        <v>122600000_211</v>
      </c>
      <c r="B38" s="1005" t="s">
        <v>1134</v>
      </c>
      <c r="C38" s="795" t="s">
        <v>1135</v>
      </c>
      <c r="D38" s="794" t="s">
        <v>1142</v>
      </c>
      <c r="E38" s="794" t="s">
        <v>1143</v>
      </c>
      <c r="F38" s="979"/>
      <c r="G38" s="979">
        <v>-11622.1</v>
      </c>
      <c r="H38" s="979">
        <v>-8374.4570000000003</v>
      </c>
      <c r="I38" s="979">
        <v>-23501.892</v>
      </c>
      <c r="J38" s="979">
        <v>-21403.920999999998</v>
      </c>
      <c r="K38" s="979">
        <v>-16748.912</v>
      </c>
      <c r="L38" s="982">
        <v>-38264.375999999997</v>
      </c>
      <c r="M38" s="439"/>
      <c r="N38" t="e">
        <f>VLOOKUP(A38, 'P&amp;L'!A:B,1,FALSE)</f>
        <v>#N/A</v>
      </c>
      <c r="O38" t="e">
        <f>VLOOKUP(A38, KeyData!A:C,1,FALSE)</f>
        <v>#N/A</v>
      </c>
      <c r="P38" s="439"/>
    </row>
    <row r="39" spans="1:16" x14ac:dyDescent="0.25">
      <c r="A39" s="439" t="str">
        <f t="shared" si="0"/>
        <v>122600000_220</v>
      </c>
      <c r="B39" s="1005" t="s">
        <v>1134</v>
      </c>
      <c r="C39" s="795" t="s">
        <v>1135</v>
      </c>
      <c r="D39" s="794" t="s">
        <v>1126</v>
      </c>
      <c r="E39" s="794" t="s">
        <v>1127</v>
      </c>
      <c r="F39" s="979"/>
      <c r="G39" s="979">
        <v>29708.460999999999</v>
      </c>
      <c r="H39" s="979"/>
      <c r="I39" s="979"/>
      <c r="J39" s="979"/>
      <c r="K39" s="979"/>
      <c r="L39" s="982"/>
      <c r="M39" s="439"/>
      <c r="N39" t="e">
        <f>VLOOKUP(A39, 'P&amp;L'!A:B,1,FALSE)</f>
        <v>#N/A</v>
      </c>
      <c r="O39" t="e">
        <f>VLOOKUP(A39, KeyData!A:C,1,FALSE)</f>
        <v>#N/A</v>
      </c>
      <c r="P39" s="439"/>
    </row>
    <row r="40" spans="1:16" x14ac:dyDescent="0.25">
      <c r="A40" s="439" t="str">
        <f t="shared" si="0"/>
        <v>122600000_222</v>
      </c>
      <c r="B40" s="1005" t="s">
        <v>1134</v>
      </c>
      <c r="C40" s="795" t="s">
        <v>1135</v>
      </c>
      <c r="D40" s="794" t="s">
        <v>1144</v>
      </c>
      <c r="E40" s="794" t="s">
        <v>1145</v>
      </c>
      <c r="F40" s="979"/>
      <c r="G40" s="979">
        <v>3778.788</v>
      </c>
      <c r="H40" s="979">
        <v>931.60799999999995</v>
      </c>
      <c r="I40" s="979"/>
      <c r="J40" s="979">
        <v>931.60799999999995</v>
      </c>
      <c r="K40" s="979">
        <v>931.60799999999995</v>
      </c>
      <c r="L40" s="982"/>
      <c r="M40" s="439"/>
      <c r="N40" t="e">
        <f>VLOOKUP(A40, 'P&amp;L'!A:B,1,FALSE)</f>
        <v>#N/A</v>
      </c>
      <c r="O40" t="e">
        <f>VLOOKUP(A40, KeyData!A:C,1,FALSE)</f>
        <v>#N/A</v>
      </c>
      <c r="P40" s="439"/>
    </row>
    <row r="41" spans="1:16" x14ac:dyDescent="0.25">
      <c r="A41" s="439" t="str">
        <f t="shared" si="0"/>
        <v>122600000_235</v>
      </c>
      <c r="B41" s="1005" t="s">
        <v>1134</v>
      </c>
      <c r="C41" s="795" t="s">
        <v>1135</v>
      </c>
      <c r="D41" s="794" t="s">
        <v>1146</v>
      </c>
      <c r="E41" s="794" t="s">
        <v>1147</v>
      </c>
      <c r="F41" s="979"/>
      <c r="G41" s="979">
        <v>-4646.7240000000002</v>
      </c>
      <c r="H41" s="979">
        <v>1102.356</v>
      </c>
      <c r="I41" s="979"/>
      <c r="J41" s="979">
        <v>157.65700000000001</v>
      </c>
      <c r="K41" s="979">
        <v>157.65700000000001</v>
      </c>
      <c r="L41" s="982"/>
      <c r="M41" s="439"/>
      <c r="N41" t="e">
        <f>VLOOKUP(A41, 'P&amp;L'!A:B,1,FALSE)</f>
        <v>#N/A</v>
      </c>
      <c r="O41" t="e">
        <f>VLOOKUP(A41, KeyData!A:C,1,FALSE)</f>
        <v>#N/A</v>
      </c>
      <c r="P41" s="439"/>
    </row>
    <row r="42" spans="1:16" x14ac:dyDescent="0.25">
      <c r="A42" s="439" t="str">
        <f t="shared" si="0"/>
        <v>122600000_260</v>
      </c>
      <c r="B42" s="1005" t="s">
        <v>1134</v>
      </c>
      <c r="C42" s="795" t="s">
        <v>1135</v>
      </c>
      <c r="D42" s="794" t="s">
        <v>1128</v>
      </c>
      <c r="E42" s="794" t="s">
        <v>1122</v>
      </c>
      <c r="F42" s="979"/>
      <c r="G42" s="979">
        <v>0</v>
      </c>
      <c r="H42" s="979">
        <v>0</v>
      </c>
      <c r="I42" s="979"/>
      <c r="J42" s="979">
        <v>0</v>
      </c>
      <c r="K42" s="979">
        <v>0</v>
      </c>
      <c r="L42" s="982"/>
      <c r="M42" s="439"/>
      <c r="N42" t="e">
        <f>VLOOKUP(A42, 'P&amp;L'!A:B,1,FALSE)</f>
        <v>#N/A</v>
      </c>
      <c r="O42" t="e">
        <f>VLOOKUP(A42, KeyData!A:C,1,FALSE)</f>
        <v>#N/A</v>
      </c>
      <c r="P42" s="439"/>
    </row>
    <row r="43" spans="1:16" x14ac:dyDescent="0.25">
      <c r="A43" s="439" t="str">
        <f t="shared" si="0"/>
        <v>122600000_Result</v>
      </c>
      <c r="B43" s="1005" t="s">
        <v>1134</v>
      </c>
      <c r="C43" s="795" t="s">
        <v>1135</v>
      </c>
      <c r="D43" s="824" t="s">
        <v>1129</v>
      </c>
      <c r="E43" s="822"/>
      <c r="F43" s="980"/>
      <c r="G43" s="980">
        <v>1380770.057</v>
      </c>
      <c r="H43" s="980">
        <v>1370880.112</v>
      </c>
      <c r="I43" s="980">
        <v>1691576.26</v>
      </c>
      <c r="J43" s="980">
        <v>1685366.1229999999</v>
      </c>
      <c r="K43" s="980">
        <v>1583170.382</v>
      </c>
      <c r="L43" s="983">
        <v>1904473.943</v>
      </c>
      <c r="M43" s="439"/>
      <c r="N43" t="e">
        <f>VLOOKUP(A43, 'P&amp;L'!A:B,1,FALSE)</f>
        <v>#N/A</v>
      </c>
      <c r="O43" t="e">
        <f>VLOOKUP(A43, KeyData!A:C,1,FALSE)</f>
        <v>#N/A</v>
      </c>
      <c r="P43" s="439"/>
    </row>
    <row r="44" spans="1:16" x14ac:dyDescent="0.25">
      <c r="A44" s="439" t="str">
        <f t="shared" si="0"/>
        <v>122612000_100</v>
      </c>
      <c r="B44" s="1006" t="s">
        <v>1148</v>
      </c>
      <c r="C44" s="796" t="s">
        <v>1149</v>
      </c>
      <c r="D44" s="794" t="s">
        <v>1115</v>
      </c>
      <c r="E44" s="794" t="s">
        <v>1116</v>
      </c>
      <c r="F44" s="979"/>
      <c r="G44" s="979">
        <v>195906.14499999999</v>
      </c>
      <c r="H44" s="979">
        <v>188386.402</v>
      </c>
      <c r="I44" s="979">
        <v>195906.14499999999</v>
      </c>
      <c r="J44" s="979">
        <v>188386.402</v>
      </c>
      <c r="K44" s="979">
        <v>188386.402</v>
      </c>
      <c r="L44" s="982">
        <v>188386.402</v>
      </c>
      <c r="M44" s="439"/>
      <c r="N44" t="e">
        <f>VLOOKUP(A44, 'P&amp;L'!A:B,1,FALSE)</f>
        <v>#N/A</v>
      </c>
      <c r="O44" t="e">
        <f>VLOOKUP(A44, KeyData!A:C,1,FALSE)</f>
        <v>#N/A</v>
      </c>
      <c r="P44" s="439"/>
    </row>
    <row r="45" spans="1:16" x14ac:dyDescent="0.25">
      <c r="A45" s="439" t="str">
        <f t="shared" si="0"/>
        <v>122612000_110</v>
      </c>
      <c r="B45" s="1006" t="s">
        <v>1148</v>
      </c>
      <c r="C45" s="796" t="s">
        <v>1149</v>
      </c>
      <c r="D45" s="794" t="s">
        <v>1117</v>
      </c>
      <c r="E45" s="794" t="s">
        <v>1118</v>
      </c>
      <c r="F45" s="979"/>
      <c r="G45" s="979">
        <v>18665.177</v>
      </c>
      <c r="H45" s="979">
        <v>324</v>
      </c>
      <c r="I45" s="979"/>
      <c r="J45" s="979"/>
      <c r="K45" s="979"/>
      <c r="L45" s="982"/>
      <c r="M45" s="439"/>
      <c r="N45" t="e">
        <f>VLOOKUP(A45, 'P&amp;L'!A:B,1,FALSE)</f>
        <v>#N/A</v>
      </c>
      <c r="O45" t="str">
        <f>VLOOKUP(A45, KeyData!A:C,1,FALSE)</f>
        <v>122612000_110</v>
      </c>
      <c r="P45" s="439"/>
    </row>
    <row r="46" spans="1:16" x14ac:dyDescent="0.25">
      <c r="A46" s="439" t="str">
        <f t="shared" si="0"/>
        <v>122612000_120</v>
      </c>
      <c r="B46" s="1006" t="s">
        <v>1148</v>
      </c>
      <c r="C46" s="796" t="s">
        <v>1149</v>
      </c>
      <c r="D46" s="794" t="s">
        <v>1119</v>
      </c>
      <c r="E46" s="794" t="s">
        <v>1120</v>
      </c>
      <c r="F46" s="979"/>
      <c r="G46" s="979">
        <v>-4380.9380000000001</v>
      </c>
      <c r="H46" s="979"/>
      <c r="I46" s="979"/>
      <c r="J46" s="979"/>
      <c r="K46" s="979"/>
      <c r="L46" s="982"/>
      <c r="M46" s="439"/>
      <c r="N46" t="e">
        <f>VLOOKUP(A46, 'P&amp;L'!A:B,1,FALSE)</f>
        <v>#N/A</v>
      </c>
      <c r="O46" t="e">
        <f>VLOOKUP(A46, KeyData!A:C,1,FALSE)</f>
        <v>#N/A</v>
      </c>
      <c r="P46" s="439"/>
    </row>
    <row r="47" spans="1:16" x14ac:dyDescent="0.25">
      <c r="A47" s="439" t="str">
        <f t="shared" si="0"/>
        <v>122612000_160</v>
      </c>
      <c r="B47" s="1006" t="s">
        <v>1148</v>
      </c>
      <c r="C47" s="796" t="s">
        <v>1149</v>
      </c>
      <c r="D47" s="794" t="s">
        <v>1121</v>
      </c>
      <c r="E47" s="794" t="s">
        <v>1122</v>
      </c>
      <c r="F47" s="979"/>
      <c r="G47" s="979">
        <v>0</v>
      </c>
      <c r="H47" s="979">
        <v>0</v>
      </c>
      <c r="I47" s="979"/>
      <c r="J47" s="979">
        <v>0</v>
      </c>
      <c r="K47" s="979">
        <v>0</v>
      </c>
      <c r="L47" s="982"/>
      <c r="M47" s="439"/>
      <c r="N47" t="e">
        <f>VLOOKUP(A47, 'P&amp;L'!A:B,1,FALSE)</f>
        <v>#N/A</v>
      </c>
      <c r="O47" t="e">
        <f>VLOOKUP(A47, KeyData!A:C,1,FALSE)</f>
        <v>#N/A</v>
      </c>
      <c r="P47" s="439"/>
    </row>
    <row r="48" spans="1:16" x14ac:dyDescent="0.25">
      <c r="A48" s="439" t="str">
        <f t="shared" si="0"/>
        <v>122612000_Result</v>
      </c>
      <c r="B48" s="1006" t="s">
        <v>1148</v>
      </c>
      <c r="C48" s="796" t="s">
        <v>1149</v>
      </c>
      <c r="D48" s="824" t="s">
        <v>1129</v>
      </c>
      <c r="E48" s="822"/>
      <c r="F48" s="980"/>
      <c r="G48" s="980">
        <v>210190.38399999999</v>
      </c>
      <c r="H48" s="980">
        <v>188710.402</v>
      </c>
      <c r="I48" s="980">
        <v>195906.14499999999</v>
      </c>
      <c r="J48" s="980">
        <v>188386.402</v>
      </c>
      <c r="K48" s="980">
        <v>188386.402</v>
      </c>
      <c r="L48" s="983">
        <v>188386.402</v>
      </c>
      <c r="M48" s="439"/>
      <c r="N48" t="e">
        <f>VLOOKUP(A48, 'P&amp;L'!A:B,1,FALSE)</f>
        <v>#N/A</v>
      </c>
      <c r="O48" t="e">
        <f>VLOOKUP(A48, KeyData!A:C,1,FALSE)</f>
        <v>#N/A</v>
      </c>
      <c r="P48" s="439"/>
    </row>
    <row r="49" spans="1:16" x14ac:dyDescent="0.25">
      <c r="A49" s="439" t="str">
        <f t="shared" si="0"/>
        <v>122613000_100</v>
      </c>
      <c r="B49" s="1006" t="s">
        <v>1150</v>
      </c>
      <c r="C49" s="796" t="s">
        <v>1151</v>
      </c>
      <c r="D49" s="794" t="s">
        <v>1115</v>
      </c>
      <c r="E49" s="794" t="s">
        <v>1116</v>
      </c>
      <c r="F49" s="979"/>
      <c r="G49" s="979">
        <v>13676.414000000001</v>
      </c>
      <c r="H49" s="979">
        <v>-1202.7149999999999</v>
      </c>
      <c r="I49" s="979">
        <v>13676.414000000001</v>
      </c>
      <c r="J49" s="979">
        <v>-1202.7149999999999</v>
      </c>
      <c r="K49" s="979">
        <v>-1202.7149999999999</v>
      </c>
      <c r="L49" s="982">
        <v>-1202.7149999999999</v>
      </c>
      <c r="M49" s="439"/>
      <c r="N49" t="e">
        <f>VLOOKUP(A49, 'P&amp;L'!A:B,1,FALSE)</f>
        <v>#N/A</v>
      </c>
      <c r="O49" t="e">
        <f>VLOOKUP(A49, KeyData!A:C,1,FALSE)</f>
        <v>#N/A</v>
      </c>
      <c r="P49" s="439"/>
    </row>
    <row r="50" spans="1:16" x14ac:dyDescent="0.25">
      <c r="A50" s="439" t="str">
        <f t="shared" si="0"/>
        <v>122613000_110</v>
      </c>
      <c r="B50" s="1006" t="s">
        <v>1150</v>
      </c>
      <c r="C50" s="796" t="s">
        <v>1151</v>
      </c>
      <c r="D50" s="794" t="s">
        <v>1117</v>
      </c>
      <c r="E50" s="794" t="s">
        <v>1118</v>
      </c>
      <c r="F50" s="979"/>
      <c r="G50" s="979">
        <v>241</v>
      </c>
      <c r="H50" s="979">
        <v>380.589</v>
      </c>
      <c r="I50" s="979"/>
      <c r="J50" s="979"/>
      <c r="K50" s="979"/>
      <c r="L50" s="982"/>
      <c r="M50" s="439"/>
      <c r="N50" t="e">
        <f>VLOOKUP(A50, 'P&amp;L'!A:B,1,FALSE)</f>
        <v>#N/A</v>
      </c>
      <c r="O50" t="e">
        <f>VLOOKUP(A50, KeyData!A:C,1,FALSE)</f>
        <v>#N/A</v>
      </c>
      <c r="P50" s="439"/>
    </row>
    <row r="51" spans="1:16" x14ac:dyDescent="0.25">
      <c r="A51" s="439" t="str">
        <f t="shared" si="0"/>
        <v>122613000_120</v>
      </c>
      <c r="B51" s="1006" t="s">
        <v>1150</v>
      </c>
      <c r="C51" s="796" t="s">
        <v>1151</v>
      </c>
      <c r="D51" s="794" t="s">
        <v>1119</v>
      </c>
      <c r="E51" s="794" t="s">
        <v>1120</v>
      </c>
      <c r="F51" s="979"/>
      <c r="G51" s="979">
        <v>-13676.414000000001</v>
      </c>
      <c r="H51" s="979"/>
      <c r="I51" s="979"/>
      <c r="J51" s="979"/>
      <c r="K51" s="979"/>
      <c r="L51" s="982"/>
      <c r="M51" s="439"/>
      <c r="N51" t="e">
        <f>VLOOKUP(A51, 'P&amp;L'!A:B,1,FALSE)</f>
        <v>#N/A</v>
      </c>
      <c r="O51" t="e">
        <f>VLOOKUP(A51, KeyData!A:C,1,FALSE)</f>
        <v>#N/A</v>
      </c>
      <c r="P51" s="439"/>
    </row>
    <row r="52" spans="1:16" x14ac:dyDescent="0.25">
      <c r="A52" s="439" t="str">
        <f t="shared" si="0"/>
        <v>122613000_160</v>
      </c>
      <c r="B52" s="1006" t="s">
        <v>1150</v>
      </c>
      <c r="C52" s="796" t="s">
        <v>1151</v>
      </c>
      <c r="D52" s="794" t="s">
        <v>1121</v>
      </c>
      <c r="E52" s="794" t="s">
        <v>1122</v>
      </c>
      <c r="F52" s="979"/>
      <c r="G52" s="979">
        <v>0</v>
      </c>
      <c r="H52" s="979">
        <v>0</v>
      </c>
      <c r="I52" s="979"/>
      <c r="J52" s="979">
        <v>0</v>
      </c>
      <c r="K52" s="979">
        <v>0</v>
      </c>
      <c r="L52" s="982"/>
      <c r="M52" s="439"/>
      <c r="N52" t="e">
        <f>VLOOKUP(A52, 'P&amp;L'!A:B,1,FALSE)</f>
        <v>#N/A</v>
      </c>
      <c r="O52" t="e">
        <f>VLOOKUP(A52, KeyData!A:C,1,FALSE)</f>
        <v>#N/A</v>
      </c>
      <c r="P52" s="439"/>
    </row>
    <row r="53" spans="1:16" x14ac:dyDescent="0.25">
      <c r="A53" s="439" t="str">
        <f t="shared" si="0"/>
        <v>122613000_200</v>
      </c>
      <c r="B53" s="1006" t="s">
        <v>1150</v>
      </c>
      <c r="C53" s="796" t="s">
        <v>1151</v>
      </c>
      <c r="D53" s="794" t="s">
        <v>1123</v>
      </c>
      <c r="E53" s="794" t="s">
        <v>1116</v>
      </c>
      <c r="F53" s="979"/>
      <c r="G53" s="979">
        <v>-11204.552</v>
      </c>
      <c r="H53" s="979">
        <v>1156.008</v>
      </c>
      <c r="I53" s="979">
        <v>-14337.552</v>
      </c>
      <c r="J53" s="979">
        <v>1156.008</v>
      </c>
      <c r="K53" s="979">
        <v>1156.008</v>
      </c>
      <c r="L53" s="982">
        <v>1156.008</v>
      </c>
      <c r="M53" s="439"/>
      <c r="N53" t="e">
        <f>VLOOKUP(A53, 'P&amp;L'!A:B,1,FALSE)</f>
        <v>#N/A</v>
      </c>
      <c r="O53" t="e">
        <f>VLOOKUP(A53, KeyData!A:C,1,FALSE)</f>
        <v>#N/A</v>
      </c>
      <c r="P53" s="439"/>
    </row>
    <row r="54" spans="1:16" x14ac:dyDescent="0.25">
      <c r="A54" s="439" t="str">
        <f t="shared" si="0"/>
        <v>122613000_210</v>
      </c>
      <c r="B54" s="1006" t="s">
        <v>1150</v>
      </c>
      <c r="C54" s="796" t="s">
        <v>1151</v>
      </c>
      <c r="D54" s="794" t="s">
        <v>1124</v>
      </c>
      <c r="E54" s="794" t="s">
        <v>1125</v>
      </c>
      <c r="F54" s="979"/>
      <c r="G54" s="979">
        <v>-2512.0320000000002</v>
      </c>
      <c r="H54" s="979">
        <v>-298.29500000000002</v>
      </c>
      <c r="I54" s="979"/>
      <c r="J54" s="979"/>
      <c r="K54" s="979"/>
      <c r="L54" s="982"/>
      <c r="M54" s="439"/>
      <c r="N54" t="e">
        <f>VLOOKUP(A54, 'P&amp;L'!A:B,1,FALSE)</f>
        <v>#N/A</v>
      </c>
      <c r="O54" t="e">
        <f>VLOOKUP(A54, KeyData!A:C,1,FALSE)</f>
        <v>#N/A</v>
      </c>
      <c r="P54" s="439"/>
    </row>
    <row r="55" spans="1:16" x14ac:dyDescent="0.25">
      <c r="A55" s="439" t="str">
        <f t="shared" si="0"/>
        <v>122613000_220</v>
      </c>
      <c r="B55" s="1006" t="s">
        <v>1150</v>
      </c>
      <c r="C55" s="796" t="s">
        <v>1151</v>
      </c>
      <c r="D55" s="794" t="s">
        <v>1126</v>
      </c>
      <c r="E55" s="794" t="s">
        <v>1127</v>
      </c>
      <c r="F55" s="979"/>
      <c r="G55" s="979">
        <v>13676.413</v>
      </c>
      <c r="H55" s="979"/>
      <c r="I55" s="979"/>
      <c r="J55" s="979"/>
      <c r="K55" s="979"/>
      <c r="L55" s="982"/>
      <c r="M55" s="439"/>
      <c r="N55" t="e">
        <f>VLOOKUP(A55, 'P&amp;L'!A:B,1,FALSE)</f>
        <v>#N/A</v>
      </c>
      <c r="O55" t="e">
        <f>VLOOKUP(A55, KeyData!A:C,1,FALSE)</f>
        <v>#N/A</v>
      </c>
      <c r="P55" s="439"/>
    </row>
    <row r="56" spans="1:16" x14ac:dyDescent="0.25">
      <c r="A56" s="439" t="str">
        <f t="shared" si="0"/>
        <v>122613000_260</v>
      </c>
      <c r="B56" s="1006" t="s">
        <v>1150</v>
      </c>
      <c r="C56" s="796" t="s">
        <v>1151</v>
      </c>
      <c r="D56" s="794" t="s">
        <v>1128</v>
      </c>
      <c r="E56" s="794" t="s">
        <v>1122</v>
      </c>
      <c r="F56" s="979"/>
      <c r="G56" s="979">
        <v>0</v>
      </c>
      <c r="H56" s="979">
        <v>0</v>
      </c>
      <c r="I56" s="979"/>
      <c r="J56" s="979">
        <v>0</v>
      </c>
      <c r="K56" s="979">
        <v>0</v>
      </c>
      <c r="L56" s="982"/>
      <c r="M56" s="439"/>
      <c r="N56" t="e">
        <f>VLOOKUP(A56, 'P&amp;L'!A:B,1,FALSE)</f>
        <v>#N/A</v>
      </c>
      <c r="O56" t="e">
        <f>VLOOKUP(A56, KeyData!A:C,1,FALSE)</f>
        <v>#N/A</v>
      </c>
      <c r="P56" s="439"/>
    </row>
    <row r="57" spans="1:16" x14ac:dyDescent="0.25">
      <c r="A57" s="439" t="str">
        <f t="shared" si="0"/>
        <v>122613000_Result</v>
      </c>
      <c r="B57" s="1006" t="s">
        <v>1150</v>
      </c>
      <c r="C57" s="796" t="s">
        <v>1151</v>
      </c>
      <c r="D57" s="824" t="s">
        <v>1129</v>
      </c>
      <c r="E57" s="822"/>
      <c r="F57" s="980"/>
      <c r="G57" s="980">
        <v>200.82900000000001</v>
      </c>
      <c r="H57" s="980">
        <v>35.587000000000003</v>
      </c>
      <c r="I57" s="980">
        <v>-661.13800000000003</v>
      </c>
      <c r="J57" s="980">
        <v>-46.707000000000001</v>
      </c>
      <c r="K57" s="980">
        <v>-46.707000000000001</v>
      </c>
      <c r="L57" s="983">
        <v>-46.707000000000001</v>
      </c>
      <c r="M57" s="439"/>
      <c r="N57" t="e">
        <f>VLOOKUP(A57, 'P&amp;L'!A:B,1,FALSE)</f>
        <v>#N/A</v>
      </c>
      <c r="O57" t="e">
        <f>VLOOKUP(A57, KeyData!A:C,1,FALSE)</f>
        <v>#N/A</v>
      </c>
      <c r="P57" s="439"/>
    </row>
    <row r="58" spans="1:16" x14ac:dyDescent="0.25">
      <c r="A58" s="439" t="str">
        <f t="shared" si="0"/>
        <v>122617100_100</v>
      </c>
      <c r="B58" s="1006" t="s">
        <v>1152</v>
      </c>
      <c r="C58" s="796" t="s">
        <v>1153</v>
      </c>
      <c r="D58" s="794" t="s">
        <v>1115</v>
      </c>
      <c r="E58" s="794" t="s">
        <v>1116</v>
      </c>
      <c r="F58" s="979"/>
      <c r="G58" s="979">
        <v>727659.32900000003</v>
      </c>
      <c r="H58" s="979">
        <v>659304.05500000005</v>
      </c>
      <c r="I58" s="979">
        <v>786844.88</v>
      </c>
      <c r="J58" s="979">
        <v>659304.05500000005</v>
      </c>
      <c r="K58" s="979">
        <v>659304.05500000005</v>
      </c>
      <c r="L58" s="982">
        <v>754421.61499999999</v>
      </c>
      <c r="M58" s="439"/>
      <c r="N58" t="e">
        <f>VLOOKUP(A58, 'P&amp;L'!A:B,1,FALSE)</f>
        <v>#N/A</v>
      </c>
      <c r="O58" t="e">
        <f>VLOOKUP(A58, KeyData!A:C,1,FALSE)</f>
        <v>#N/A</v>
      </c>
      <c r="P58" s="439"/>
    </row>
    <row r="59" spans="1:16" x14ac:dyDescent="0.25">
      <c r="A59" s="439" t="str">
        <f t="shared" si="0"/>
        <v>122617100_110</v>
      </c>
      <c r="B59" s="1006" t="s">
        <v>1152</v>
      </c>
      <c r="C59" s="796" t="s">
        <v>1153</v>
      </c>
      <c r="D59" s="794" t="s">
        <v>1117</v>
      </c>
      <c r="E59" s="794" t="s">
        <v>1118</v>
      </c>
      <c r="F59" s="979"/>
      <c r="G59" s="979">
        <v>7953.0659999999998</v>
      </c>
      <c r="H59" s="979">
        <v>17221.673999999999</v>
      </c>
      <c r="I59" s="979">
        <v>225886.96799999999</v>
      </c>
      <c r="J59" s="979">
        <v>191808.37400000001</v>
      </c>
      <c r="K59" s="979">
        <v>311634.39500000002</v>
      </c>
      <c r="L59" s="982">
        <v>212244.81599999999</v>
      </c>
      <c r="M59" s="439"/>
      <c r="N59" t="e">
        <f>VLOOKUP(A59, 'P&amp;L'!A:B,1,FALSE)</f>
        <v>#N/A</v>
      </c>
      <c r="O59" t="str">
        <f>VLOOKUP(A59, KeyData!A:C,1,FALSE)</f>
        <v>122617100_110</v>
      </c>
      <c r="P59" s="439"/>
    </row>
    <row r="60" spans="1:16" x14ac:dyDescent="0.25">
      <c r="A60" s="439" t="str">
        <f t="shared" si="0"/>
        <v>122617100_130</v>
      </c>
      <c r="B60" s="1006" t="s">
        <v>1152</v>
      </c>
      <c r="C60" s="796" t="s">
        <v>1153</v>
      </c>
      <c r="D60" s="794" t="s">
        <v>1138</v>
      </c>
      <c r="E60" s="794" t="s">
        <v>1139</v>
      </c>
      <c r="F60" s="979"/>
      <c r="G60" s="979"/>
      <c r="H60" s="979">
        <v>585.95899999999995</v>
      </c>
      <c r="I60" s="979"/>
      <c r="J60" s="979"/>
      <c r="K60" s="979"/>
      <c r="L60" s="982"/>
      <c r="M60" s="439"/>
      <c r="N60" t="e">
        <f>VLOOKUP(A60, 'P&amp;L'!A:B,1,FALSE)</f>
        <v>#N/A</v>
      </c>
      <c r="O60" t="e">
        <f>VLOOKUP(A60, KeyData!A:C,1,FALSE)</f>
        <v>#N/A</v>
      </c>
      <c r="P60" s="439"/>
    </row>
    <row r="61" spans="1:16" x14ac:dyDescent="0.25">
      <c r="A61" s="439" t="str">
        <f t="shared" si="0"/>
        <v>122617100_160</v>
      </c>
      <c r="B61" s="1006" t="s">
        <v>1152</v>
      </c>
      <c r="C61" s="796" t="s">
        <v>1153</v>
      </c>
      <c r="D61" s="794" t="s">
        <v>1121</v>
      </c>
      <c r="E61" s="794" t="s">
        <v>1122</v>
      </c>
      <c r="F61" s="979"/>
      <c r="G61" s="979">
        <v>0</v>
      </c>
      <c r="H61" s="979">
        <v>0</v>
      </c>
      <c r="I61" s="979"/>
      <c r="J61" s="979">
        <v>0</v>
      </c>
      <c r="K61" s="979">
        <v>0</v>
      </c>
      <c r="L61" s="982"/>
      <c r="M61" s="439"/>
      <c r="N61" t="e">
        <f>VLOOKUP(A61, 'P&amp;L'!A:B,1,FALSE)</f>
        <v>#N/A</v>
      </c>
      <c r="O61" t="e">
        <f>VLOOKUP(A61, KeyData!A:C,1,FALSE)</f>
        <v>#N/A</v>
      </c>
      <c r="P61" s="439"/>
    </row>
    <row r="62" spans="1:16" x14ac:dyDescent="0.25">
      <c r="A62" s="439" t="str">
        <f t="shared" si="0"/>
        <v>122617100_200</v>
      </c>
      <c r="B62" s="1006" t="s">
        <v>1152</v>
      </c>
      <c r="C62" s="796" t="s">
        <v>1153</v>
      </c>
      <c r="D62" s="794" t="s">
        <v>1123</v>
      </c>
      <c r="E62" s="794" t="s">
        <v>1116</v>
      </c>
      <c r="F62" s="979"/>
      <c r="G62" s="979">
        <v>-357931.00900000002</v>
      </c>
      <c r="H62" s="979">
        <v>-353056.95899999997</v>
      </c>
      <c r="I62" s="979">
        <v>-383785.522</v>
      </c>
      <c r="J62" s="979">
        <v>-353056.95899999997</v>
      </c>
      <c r="K62" s="979">
        <v>-353056.95899999997</v>
      </c>
      <c r="L62" s="982">
        <v>-376010.95600000001</v>
      </c>
      <c r="M62" s="439"/>
      <c r="N62" t="e">
        <f>VLOOKUP(A62, 'P&amp;L'!A:B,1,FALSE)</f>
        <v>#N/A</v>
      </c>
      <c r="O62" t="e">
        <f>VLOOKUP(A62, KeyData!A:C,1,FALSE)</f>
        <v>#N/A</v>
      </c>
      <c r="P62" s="439"/>
    </row>
    <row r="63" spans="1:16" x14ac:dyDescent="0.25">
      <c r="A63" s="439" t="str">
        <f t="shared" si="0"/>
        <v>122617100_210</v>
      </c>
      <c r="B63" s="1006" t="s">
        <v>1152</v>
      </c>
      <c r="C63" s="796" t="s">
        <v>1153</v>
      </c>
      <c r="D63" s="794" t="s">
        <v>1124</v>
      </c>
      <c r="E63" s="794" t="s">
        <v>1125</v>
      </c>
      <c r="F63" s="979"/>
      <c r="G63" s="979">
        <v>-35989.025000000001</v>
      </c>
      <c r="H63" s="979">
        <v>-15861.451999999999</v>
      </c>
      <c r="I63" s="979">
        <v>-36822.756000000001</v>
      </c>
      <c r="J63" s="979">
        <v>-23852.126</v>
      </c>
      <c r="K63" s="979">
        <v>-24206.964</v>
      </c>
      <c r="L63" s="982">
        <v>-49440.123</v>
      </c>
      <c r="M63" s="439"/>
      <c r="N63" t="e">
        <f>VLOOKUP(A63, 'P&amp;L'!A:B,1,FALSE)</f>
        <v>#N/A</v>
      </c>
      <c r="O63" t="e">
        <f>VLOOKUP(A63, KeyData!A:C,1,FALSE)</f>
        <v>#N/A</v>
      </c>
      <c r="P63" s="439"/>
    </row>
    <row r="64" spans="1:16" x14ac:dyDescent="0.25">
      <c r="A64" s="439" t="str">
        <f t="shared" si="0"/>
        <v>122617100_260</v>
      </c>
      <c r="B64" s="1006" t="s">
        <v>1152</v>
      </c>
      <c r="C64" s="796" t="s">
        <v>1153</v>
      </c>
      <c r="D64" s="794" t="s">
        <v>1128</v>
      </c>
      <c r="E64" s="794" t="s">
        <v>1122</v>
      </c>
      <c r="F64" s="979"/>
      <c r="G64" s="979">
        <v>0</v>
      </c>
      <c r="H64" s="979">
        <v>0</v>
      </c>
      <c r="I64" s="979"/>
      <c r="J64" s="979">
        <v>0</v>
      </c>
      <c r="K64" s="979">
        <v>0</v>
      </c>
      <c r="L64" s="982"/>
      <c r="M64" s="439"/>
      <c r="N64" t="e">
        <f>VLOOKUP(A64, 'P&amp;L'!A:B,1,FALSE)</f>
        <v>#N/A</v>
      </c>
      <c r="O64" t="e">
        <f>VLOOKUP(A64, KeyData!A:C,1,FALSE)</f>
        <v>#N/A</v>
      </c>
      <c r="P64" s="439"/>
    </row>
    <row r="65" spans="1:16" x14ac:dyDescent="0.25">
      <c r="A65" s="439" t="str">
        <f t="shared" si="0"/>
        <v>122617100_Result</v>
      </c>
      <c r="B65" s="1006" t="s">
        <v>1152</v>
      </c>
      <c r="C65" s="796" t="s">
        <v>1153</v>
      </c>
      <c r="D65" s="824" t="s">
        <v>1129</v>
      </c>
      <c r="E65" s="822"/>
      <c r="F65" s="980"/>
      <c r="G65" s="980">
        <v>341692.36099999998</v>
      </c>
      <c r="H65" s="980">
        <v>308193.277</v>
      </c>
      <c r="I65" s="980">
        <v>592123.56999999995</v>
      </c>
      <c r="J65" s="980">
        <v>474203.34399999998</v>
      </c>
      <c r="K65" s="980">
        <v>593674.527</v>
      </c>
      <c r="L65" s="983">
        <v>541215.35199999996</v>
      </c>
      <c r="M65" s="439"/>
      <c r="N65" t="e">
        <f>VLOOKUP(A65, 'P&amp;L'!A:B,1,FALSE)</f>
        <v>#N/A</v>
      </c>
      <c r="O65" t="e">
        <f>VLOOKUP(A65, KeyData!A:C,1,FALSE)</f>
        <v>#N/A</v>
      </c>
      <c r="P65" s="439"/>
    </row>
    <row r="66" spans="1:16" x14ac:dyDescent="0.25">
      <c r="A66" s="439" t="str">
        <f t="shared" si="0"/>
        <v>122617200_100</v>
      </c>
      <c r="B66" s="1006" t="s">
        <v>1154</v>
      </c>
      <c r="C66" s="796" t="s">
        <v>1155</v>
      </c>
      <c r="D66" s="794" t="s">
        <v>1115</v>
      </c>
      <c r="E66" s="794" t="s">
        <v>1116</v>
      </c>
      <c r="F66" s="979"/>
      <c r="G66" s="979">
        <v>10034.745999999999</v>
      </c>
      <c r="H66" s="979">
        <v>39595.870999999999</v>
      </c>
      <c r="I66" s="979">
        <v>57649.116000000002</v>
      </c>
      <c r="J66" s="979">
        <v>39595.870999999999</v>
      </c>
      <c r="K66" s="979">
        <v>39595.870999999999</v>
      </c>
      <c r="L66" s="982">
        <v>40581.260999999999</v>
      </c>
      <c r="M66" s="439"/>
      <c r="N66" t="e">
        <f>VLOOKUP(A66, 'P&amp;L'!A:B,1,FALSE)</f>
        <v>#N/A</v>
      </c>
      <c r="O66" t="e">
        <f>VLOOKUP(A66, KeyData!A:C,1,FALSE)</f>
        <v>#N/A</v>
      </c>
      <c r="P66" s="439"/>
    </row>
    <row r="67" spans="1:16" x14ac:dyDescent="0.25">
      <c r="A67" s="439" t="str">
        <f t="shared" ref="A67:A130" si="1" xml:space="preserve"> IFERROR(+B67*1,B67)&amp;"_"&amp;IFERROR(+D67*1,D67)</f>
        <v>122617200_110</v>
      </c>
      <c r="B67" s="1006" t="s">
        <v>1154</v>
      </c>
      <c r="C67" s="796" t="s">
        <v>1155</v>
      </c>
      <c r="D67" s="794" t="s">
        <v>1117</v>
      </c>
      <c r="E67" s="794" t="s">
        <v>1118</v>
      </c>
      <c r="F67" s="979"/>
      <c r="G67" s="979">
        <v>45340.154999999999</v>
      </c>
      <c r="H67" s="979"/>
      <c r="I67" s="979">
        <v>604.79999999999995</v>
      </c>
      <c r="J67" s="979">
        <v>380.59</v>
      </c>
      <c r="K67" s="979">
        <v>985.39</v>
      </c>
      <c r="L67" s="982"/>
      <c r="M67" s="439"/>
      <c r="N67" t="e">
        <f>VLOOKUP(A67, 'P&amp;L'!A:B,1,FALSE)</f>
        <v>#N/A</v>
      </c>
      <c r="O67" t="e">
        <f>VLOOKUP(A67, KeyData!A:C,1,FALSE)</f>
        <v>#N/A</v>
      </c>
      <c r="P67" s="439"/>
    </row>
    <row r="68" spans="1:16" x14ac:dyDescent="0.25">
      <c r="A68" s="439" t="str">
        <f t="shared" si="1"/>
        <v>122617200_120</v>
      </c>
      <c r="B68" s="1006" t="s">
        <v>1154</v>
      </c>
      <c r="C68" s="796" t="s">
        <v>1155</v>
      </c>
      <c r="D68" s="794" t="s">
        <v>1119</v>
      </c>
      <c r="E68" s="794" t="s">
        <v>1120</v>
      </c>
      <c r="F68" s="979"/>
      <c r="G68" s="979">
        <v>-10034.746999999999</v>
      </c>
      <c r="H68" s="979"/>
      <c r="I68" s="979"/>
      <c r="J68" s="979"/>
      <c r="K68" s="979"/>
      <c r="L68" s="982"/>
      <c r="M68" s="439"/>
      <c r="N68" t="e">
        <f>VLOOKUP(A68, 'P&amp;L'!A:B,1,FALSE)</f>
        <v>#N/A</v>
      </c>
      <c r="O68" t="e">
        <f>VLOOKUP(A68, KeyData!A:C,1,FALSE)</f>
        <v>#N/A</v>
      </c>
      <c r="P68" s="439"/>
    </row>
    <row r="69" spans="1:16" x14ac:dyDescent="0.25">
      <c r="A69" s="439" t="str">
        <f t="shared" si="1"/>
        <v>122617200_160</v>
      </c>
      <c r="B69" s="1006" t="s">
        <v>1154</v>
      </c>
      <c r="C69" s="796" t="s">
        <v>1155</v>
      </c>
      <c r="D69" s="794" t="s">
        <v>1121</v>
      </c>
      <c r="E69" s="794" t="s">
        <v>1122</v>
      </c>
      <c r="F69" s="979"/>
      <c r="G69" s="979">
        <v>0</v>
      </c>
      <c r="H69" s="979">
        <v>0</v>
      </c>
      <c r="I69" s="979"/>
      <c r="J69" s="979">
        <v>0</v>
      </c>
      <c r="K69" s="979">
        <v>0</v>
      </c>
      <c r="L69" s="982"/>
      <c r="M69" s="439"/>
      <c r="N69" t="e">
        <f>VLOOKUP(A69, 'P&amp;L'!A:B,1,FALSE)</f>
        <v>#N/A</v>
      </c>
      <c r="O69" t="e">
        <f>VLOOKUP(A69, KeyData!A:C,1,FALSE)</f>
        <v>#N/A</v>
      </c>
      <c r="P69" s="439"/>
    </row>
    <row r="70" spans="1:16" x14ac:dyDescent="0.25">
      <c r="A70" s="439" t="str">
        <f t="shared" si="1"/>
        <v>122617200_200</v>
      </c>
      <c r="B70" s="1006" t="s">
        <v>1154</v>
      </c>
      <c r="C70" s="796" t="s">
        <v>1155</v>
      </c>
      <c r="D70" s="794" t="s">
        <v>1123</v>
      </c>
      <c r="E70" s="794" t="s">
        <v>1116</v>
      </c>
      <c r="F70" s="979"/>
      <c r="G70" s="979">
        <v>-6638.53</v>
      </c>
      <c r="H70" s="979">
        <v>-5683.6570000000002</v>
      </c>
      <c r="I70" s="979">
        <v>-14776.873</v>
      </c>
      <c r="J70" s="979">
        <v>-5683.6570000000002</v>
      </c>
      <c r="K70" s="979">
        <v>-5683.6570000000002</v>
      </c>
      <c r="L70" s="982">
        <v>-14827.628000000001</v>
      </c>
      <c r="M70" s="439"/>
      <c r="N70" t="e">
        <f>VLOOKUP(A70, 'P&amp;L'!A:B,1,FALSE)</f>
        <v>#N/A</v>
      </c>
      <c r="O70" t="e">
        <f>VLOOKUP(A70, KeyData!A:C,1,FALSE)</f>
        <v>#N/A</v>
      </c>
      <c r="P70" s="439"/>
    </row>
    <row r="71" spans="1:16" x14ac:dyDescent="0.25">
      <c r="A71" s="439" t="str">
        <f t="shared" si="1"/>
        <v>122617200_210</v>
      </c>
      <c r="B71" s="1006" t="s">
        <v>1154</v>
      </c>
      <c r="C71" s="796" t="s">
        <v>1155</v>
      </c>
      <c r="D71" s="794" t="s">
        <v>1124</v>
      </c>
      <c r="E71" s="794" t="s">
        <v>1125</v>
      </c>
      <c r="F71" s="979"/>
      <c r="G71" s="979">
        <v>-10555.188</v>
      </c>
      <c r="H71" s="979">
        <v>-6416.34</v>
      </c>
      <c r="I71" s="979">
        <v>-18240.312000000002</v>
      </c>
      <c r="J71" s="979">
        <v>-8950.3780000000006</v>
      </c>
      <c r="K71" s="979">
        <v>-9150.2710000000006</v>
      </c>
      <c r="L71" s="982"/>
      <c r="M71" s="439"/>
      <c r="N71" t="e">
        <f>VLOOKUP(A71, 'P&amp;L'!A:B,1,FALSE)</f>
        <v>#N/A</v>
      </c>
      <c r="O71" t="e">
        <f>VLOOKUP(A71, KeyData!A:C,1,FALSE)</f>
        <v>#N/A</v>
      </c>
      <c r="P71" s="439"/>
    </row>
    <row r="72" spans="1:16" x14ac:dyDescent="0.25">
      <c r="A72" s="439" t="str">
        <f t="shared" si="1"/>
        <v>122617200_220</v>
      </c>
      <c r="B72" s="1006" t="s">
        <v>1154</v>
      </c>
      <c r="C72" s="796" t="s">
        <v>1155</v>
      </c>
      <c r="D72" s="794" t="s">
        <v>1126</v>
      </c>
      <c r="E72" s="794" t="s">
        <v>1127</v>
      </c>
      <c r="F72" s="979"/>
      <c r="G72" s="979">
        <v>10034.746999999999</v>
      </c>
      <c r="H72" s="979"/>
      <c r="I72" s="979"/>
      <c r="J72" s="979"/>
      <c r="K72" s="979"/>
      <c r="L72" s="982"/>
      <c r="M72" s="439"/>
      <c r="N72" t="e">
        <f>VLOOKUP(A72, 'P&amp;L'!A:B,1,FALSE)</f>
        <v>#N/A</v>
      </c>
      <c r="O72" t="e">
        <f>VLOOKUP(A72, KeyData!A:C,1,FALSE)</f>
        <v>#N/A</v>
      </c>
      <c r="P72" s="439"/>
    </row>
    <row r="73" spans="1:16" x14ac:dyDescent="0.25">
      <c r="A73" s="439" t="str">
        <f t="shared" si="1"/>
        <v>122617200_260</v>
      </c>
      <c r="B73" s="1006" t="s">
        <v>1154</v>
      </c>
      <c r="C73" s="796" t="s">
        <v>1155</v>
      </c>
      <c r="D73" s="794" t="s">
        <v>1128</v>
      </c>
      <c r="E73" s="794" t="s">
        <v>1122</v>
      </c>
      <c r="F73" s="979"/>
      <c r="G73" s="979">
        <v>0</v>
      </c>
      <c r="H73" s="979">
        <v>0</v>
      </c>
      <c r="I73" s="979"/>
      <c r="J73" s="979">
        <v>0</v>
      </c>
      <c r="K73" s="979">
        <v>0</v>
      </c>
      <c r="L73" s="982"/>
      <c r="M73" s="439"/>
      <c r="N73" t="e">
        <f>VLOOKUP(A73, 'P&amp;L'!A:B,1,FALSE)</f>
        <v>#N/A</v>
      </c>
      <c r="O73" t="e">
        <f>VLOOKUP(A73, KeyData!A:C,1,FALSE)</f>
        <v>#N/A</v>
      </c>
      <c r="P73" s="439"/>
    </row>
    <row r="74" spans="1:16" x14ac:dyDescent="0.25">
      <c r="A74" s="439" t="str">
        <f t="shared" si="1"/>
        <v>122617200_Result</v>
      </c>
      <c r="B74" s="1006" t="s">
        <v>1154</v>
      </c>
      <c r="C74" s="796" t="s">
        <v>1155</v>
      </c>
      <c r="D74" s="824" t="s">
        <v>1129</v>
      </c>
      <c r="E74" s="822"/>
      <c r="F74" s="980"/>
      <c r="G74" s="980">
        <v>38181.182999999997</v>
      </c>
      <c r="H74" s="980">
        <v>27495.874</v>
      </c>
      <c r="I74" s="980">
        <v>25236.731</v>
      </c>
      <c r="J74" s="980">
        <v>25342.425999999999</v>
      </c>
      <c r="K74" s="980">
        <v>25747.332999999999</v>
      </c>
      <c r="L74" s="983">
        <v>25753.633000000002</v>
      </c>
      <c r="M74" s="439"/>
      <c r="N74" t="e">
        <f>VLOOKUP(A74, 'P&amp;L'!A:B,1,FALSE)</f>
        <v>#N/A</v>
      </c>
      <c r="O74" t="e">
        <f>VLOOKUP(A74, KeyData!A:C,1,FALSE)</f>
        <v>#N/A</v>
      </c>
      <c r="P74" s="439"/>
    </row>
    <row r="75" spans="1:16" x14ac:dyDescent="0.25">
      <c r="A75" s="439" t="str">
        <f t="shared" si="1"/>
        <v>122622000_100</v>
      </c>
      <c r="B75" s="1006" t="s">
        <v>1156</v>
      </c>
      <c r="C75" s="796" t="s">
        <v>1157</v>
      </c>
      <c r="D75" s="794" t="s">
        <v>1115</v>
      </c>
      <c r="E75" s="794" t="s">
        <v>1116</v>
      </c>
      <c r="F75" s="979"/>
      <c r="G75" s="979">
        <v>1011689.431</v>
      </c>
      <c r="H75" s="979">
        <v>1624510.061</v>
      </c>
      <c r="I75" s="979">
        <v>1551909.382</v>
      </c>
      <c r="J75" s="979">
        <v>1624510.061</v>
      </c>
      <c r="K75" s="979">
        <v>1624510.061</v>
      </c>
      <c r="L75" s="982">
        <v>1774945.987</v>
      </c>
      <c r="M75" s="439"/>
      <c r="N75" t="e">
        <f>VLOOKUP(A75, 'P&amp;L'!A:B,1,FALSE)</f>
        <v>#N/A</v>
      </c>
      <c r="O75" t="e">
        <f>VLOOKUP(A75, KeyData!A:C,1,FALSE)</f>
        <v>#N/A</v>
      </c>
      <c r="P75" s="439"/>
    </row>
    <row r="76" spans="1:16" x14ac:dyDescent="0.25">
      <c r="A76" s="439" t="str">
        <f t="shared" si="1"/>
        <v>122622000_110</v>
      </c>
      <c r="B76" s="1006" t="s">
        <v>1156</v>
      </c>
      <c r="C76" s="796" t="s">
        <v>1157</v>
      </c>
      <c r="D76" s="794" t="s">
        <v>1117</v>
      </c>
      <c r="E76" s="794" t="s">
        <v>1118</v>
      </c>
      <c r="F76" s="979"/>
      <c r="G76" s="979">
        <v>512401.26</v>
      </c>
      <c r="H76" s="979">
        <v>59000</v>
      </c>
      <c r="I76" s="979">
        <v>354774.23800000001</v>
      </c>
      <c r="J76" s="979">
        <v>100421.07</v>
      </c>
      <c r="K76" s="979">
        <v>96551.994000000006</v>
      </c>
      <c r="L76" s="982">
        <v>322517.69199999998</v>
      </c>
      <c r="M76" s="439"/>
      <c r="N76" t="e">
        <f>VLOOKUP(A76, 'P&amp;L'!A:B,1,FALSE)</f>
        <v>#N/A</v>
      </c>
      <c r="O76" t="str">
        <f>VLOOKUP(A76, KeyData!A:C,1,FALSE)</f>
        <v>122622000_110</v>
      </c>
      <c r="P76" s="439"/>
    </row>
    <row r="77" spans="1:16" x14ac:dyDescent="0.25">
      <c r="A77" s="439" t="str">
        <f t="shared" si="1"/>
        <v>122622000_120</v>
      </c>
      <c r="B77" s="1006" t="s">
        <v>1156</v>
      </c>
      <c r="C77" s="796" t="s">
        <v>1157</v>
      </c>
      <c r="D77" s="794" t="s">
        <v>1119</v>
      </c>
      <c r="E77" s="794" t="s">
        <v>1120</v>
      </c>
      <c r="F77" s="979"/>
      <c r="G77" s="979">
        <v>-1661.009</v>
      </c>
      <c r="H77" s="979"/>
      <c r="I77" s="979"/>
      <c r="J77" s="979"/>
      <c r="K77" s="979"/>
      <c r="L77" s="982"/>
      <c r="M77" s="439"/>
      <c r="N77" t="e">
        <f>VLOOKUP(A77, 'P&amp;L'!A:B,1,FALSE)</f>
        <v>#N/A</v>
      </c>
      <c r="O77" t="e">
        <f>VLOOKUP(A77, KeyData!A:C,1,FALSE)</f>
        <v>#N/A</v>
      </c>
      <c r="P77" s="439"/>
    </row>
    <row r="78" spans="1:16" x14ac:dyDescent="0.25">
      <c r="A78" s="439" t="str">
        <f t="shared" si="1"/>
        <v>122622000_122</v>
      </c>
      <c r="B78" s="1006" t="s">
        <v>1156</v>
      </c>
      <c r="C78" s="796" t="s">
        <v>1157</v>
      </c>
      <c r="D78" s="794" t="s">
        <v>1136</v>
      </c>
      <c r="E78" s="794" t="s">
        <v>1137</v>
      </c>
      <c r="F78" s="979"/>
      <c r="G78" s="979">
        <v>-2196.6460000000002</v>
      </c>
      <c r="H78" s="979">
        <v>-931.60799999999995</v>
      </c>
      <c r="I78" s="979"/>
      <c r="J78" s="979">
        <v>-931.60799999999995</v>
      </c>
      <c r="K78" s="979">
        <v>-931.60799999999995</v>
      </c>
      <c r="L78" s="982"/>
      <c r="M78" s="439"/>
      <c r="N78" t="e">
        <f>VLOOKUP(A78, 'P&amp;L'!A:B,1,FALSE)</f>
        <v>#N/A</v>
      </c>
      <c r="O78" t="e">
        <f>VLOOKUP(A78, KeyData!A:C,1,FALSE)</f>
        <v>#N/A</v>
      </c>
      <c r="P78" s="439"/>
    </row>
    <row r="79" spans="1:16" x14ac:dyDescent="0.25">
      <c r="A79" s="439" t="str">
        <f t="shared" si="1"/>
        <v>122622000_130</v>
      </c>
      <c r="B79" s="1006" t="s">
        <v>1156</v>
      </c>
      <c r="C79" s="796" t="s">
        <v>1157</v>
      </c>
      <c r="D79" s="794" t="s">
        <v>1138</v>
      </c>
      <c r="E79" s="794" t="s">
        <v>1139</v>
      </c>
      <c r="F79" s="979"/>
      <c r="G79" s="979">
        <v>106000</v>
      </c>
      <c r="H79" s="979">
        <v>59691.724999999999</v>
      </c>
      <c r="I79" s="979"/>
      <c r="J79" s="979"/>
      <c r="K79" s="979"/>
      <c r="L79" s="982"/>
      <c r="M79" s="439"/>
      <c r="N79" t="e">
        <f>VLOOKUP(A79, 'P&amp;L'!A:B,1,FALSE)</f>
        <v>#N/A</v>
      </c>
      <c r="O79" t="e">
        <f>VLOOKUP(A79, KeyData!A:C,1,FALSE)</f>
        <v>#N/A</v>
      </c>
      <c r="P79" s="439"/>
    </row>
    <row r="80" spans="1:16" x14ac:dyDescent="0.25">
      <c r="A80" s="439" t="str">
        <f t="shared" si="1"/>
        <v>122622000_135</v>
      </c>
      <c r="B80" s="1006" t="s">
        <v>1156</v>
      </c>
      <c r="C80" s="796" t="s">
        <v>1157</v>
      </c>
      <c r="D80" s="794" t="s">
        <v>1140</v>
      </c>
      <c r="E80" s="794" t="s">
        <v>1141</v>
      </c>
      <c r="F80" s="979"/>
      <c r="G80" s="979">
        <v>4368.2299999999996</v>
      </c>
      <c r="H80" s="979">
        <v>-1200.5509999999999</v>
      </c>
      <c r="I80" s="979"/>
      <c r="J80" s="979">
        <v>-335.77199999999999</v>
      </c>
      <c r="K80" s="979">
        <v>-335.77199999999999</v>
      </c>
      <c r="L80" s="982"/>
      <c r="M80" s="439"/>
      <c r="N80" t="e">
        <f>VLOOKUP(A80, 'P&amp;L'!A:B,1,FALSE)</f>
        <v>#N/A</v>
      </c>
      <c r="O80" t="e">
        <f>VLOOKUP(A80, KeyData!A:C,1,FALSE)</f>
        <v>#N/A</v>
      </c>
      <c r="P80" s="439"/>
    </row>
    <row r="81" spans="1:16" x14ac:dyDescent="0.25">
      <c r="A81" s="439" t="str">
        <f t="shared" si="1"/>
        <v>122622000_160</v>
      </c>
      <c r="B81" s="1006" t="s">
        <v>1156</v>
      </c>
      <c r="C81" s="796" t="s">
        <v>1157</v>
      </c>
      <c r="D81" s="794" t="s">
        <v>1121</v>
      </c>
      <c r="E81" s="794" t="s">
        <v>1122</v>
      </c>
      <c r="F81" s="979"/>
      <c r="G81" s="979">
        <v>0</v>
      </c>
      <c r="H81" s="979">
        <v>0</v>
      </c>
      <c r="I81" s="979"/>
      <c r="J81" s="979">
        <v>0</v>
      </c>
      <c r="K81" s="979">
        <v>0</v>
      </c>
      <c r="L81" s="982"/>
      <c r="M81" s="439"/>
      <c r="N81" t="e">
        <f>VLOOKUP(A81, 'P&amp;L'!A:B,1,FALSE)</f>
        <v>#N/A</v>
      </c>
      <c r="O81" t="e">
        <f>VLOOKUP(A81, KeyData!A:C,1,FALSE)</f>
        <v>#N/A</v>
      </c>
      <c r="P81" s="439"/>
    </row>
    <row r="82" spans="1:16" x14ac:dyDescent="0.25">
      <c r="A82" s="439" t="str">
        <f t="shared" si="1"/>
        <v>122622000_200</v>
      </c>
      <c r="B82" s="1006" t="s">
        <v>1156</v>
      </c>
      <c r="C82" s="796" t="s">
        <v>1157</v>
      </c>
      <c r="D82" s="794" t="s">
        <v>1123</v>
      </c>
      <c r="E82" s="794" t="s">
        <v>1116</v>
      </c>
      <c r="F82" s="979"/>
      <c r="G82" s="979">
        <v>-968274.91599999997</v>
      </c>
      <c r="H82" s="979">
        <v>-1064122.595</v>
      </c>
      <c r="I82" s="979">
        <v>-1128273.3729999999</v>
      </c>
      <c r="J82" s="979">
        <v>-1064122.595</v>
      </c>
      <c r="K82" s="979">
        <v>-1064122.595</v>
      </c>
      <c r="L82" s="982">
        <v>-1196602.4240000001</v>
      </c>
      <c r="M82" s="439"/>
      <c r="N82" t="e">
        <f>VLOOKUP(A82, 'P&amp;L'!A:B,1,FALSE)</f>
        <v>#N/A</v>
      </c>
      <c r="O82" t="e">
        <f>VLOOKUP(A82, KeyData!A:C,1,FALSE)</f>
        <v>#N/A</v>
      </c>
      <c r="P82" s="439"/>
    </row>
    <row r="83" spans="1:16" x14ac:dyDescent="0.25">
      <c r="A83" s="439" t="str">
        <f t="shared" si="1"/>
        <v>122622000_210</v>
      </c>
      <c r="B83" s="1006" t="s">
        <v>1156</v>
      </c>
      <c r="C83" s="796" t="s">
        <v>1157</v>
      </c>
      <c r="D83" s="794" t="s">
        <v>1124</v>
      </c>
      <c r="E83" s="794" t="s">
        <v>1125</v>
      </c>
      <c r="F83" s="979"/>
      <c r="G83" s="979">
        <v>-101359.958</v>
      </c>
      <c r="H83" s="979">
        <v>-65532.834999999999</v>
      </c>
      <c r="I83" s="979">
        <v>-156797.24400000001</v>
      </c>
      <c r="J83" s="979">
        <v>-137041.98300000001</v>
      </c>
      <c r="K83" s="979">
        <v>-136646.54699999999</v>
      </c>
      <c r="L83" s="982">
        <v>-144411.959</v>
      </c>
      <c r="M83" s="439"/>
      <c r="N83" t="e">
        <f>VLOOKUP(A83, 'P&amp;L'!A:B,1,FALSE)</f>
        <v>#N/A</v>
      </c>
      <c r="O83" t="e">
        <f>VLOOKUP(A83, KeyData!A:C,1,FALSE)</f>
        <v>#N/A</v>
      </c>
      <c r="P83" s="439"/>
    </row>
    <row r="84" spans="1:16" x14ac:dyDescent="0.25">
      <c r="A84" s="439" t="str">
        <f t="shared" si="1"/>
        <v>122622000_220</v>
      </c>
      <c r="B84" s="1006" t="s">
        <v>1156</v>
      </c>
      <c r="C84" s="796" t="s">
        <v>1157</v>
      </c>
      <c r="D84" s="794" t="s">
        <v>1126</v>
      </c>
      <c r="E84" s="794" t="s">
        <v>1127</v>
      </c>
      <c r="F84" s="979"/>
      <c r="G84" s="979">
        <v>1661.009</v>
      </c>
      <c r="H84" s="979"/>
      <c r="I84" s="979"/>
      <c r="J84" s="979"/>
      <c r="K84" s="979"/>
      <c r="L84" s="982"/>
      <c r="M84" s="439"/>
      <c r="N84" t="e">
        <f>VLOOKUP(A84, 'P&amp;L'!A:B,1,FALSE)</f>
        <v>#N/A</v>
      </c>
      <c r="O84" t="e">
        <f>VLOOKUP(A84, KeyData!A:C,1,FALSE)</f>
        <v>#N/A</v>
      </c>
      <c r="P84" s="439"/>
    </row>
    <row r="85" spans="1:16" x14ac:dyDescent="0.25">
      <c r="A85" s="439" t="str">
        <f t="shared" si="1"/>
        <v>122622000_222</v>
      </c>
      <c r="B85" s="1006" t="s">
        <v>1156</v>
      </c>
      <c r="C85" s="796" t="s">
        <v>1157</v>
      </c>
      <c r="D85" s="794" t="s">
        <v>1144</v>
      </c>
      <c r="E85" s="794" t="s">
        <v>1145</v>
      </c>
      <c r="F85" s="979"/>
      <c r="G85" s="979">
        <v>2196.6460000000002</v>
      </c>
      <c r="H85" s="979">
        <v>931.60799999999995</v>
      </c>
      <c r="I85" s="979"/>
      <c r="J85" s="979">
        <v>931.60799999999995</v>
      </c>
      <c r="K85" s="979">
        <v>931.60799999999995</v>
      </c>
      <c r="L85" s="982"/>
      <c r="M85" s="439"/>
      <c r="N85" t="e">
        <f>VLOOKUP(A85, 'P&amp;L'!A:B,1,FALSE)</f>
        <v>#N/A</v>
      </c>
      <c r="O85" t="e">
        <f>VLOOKUP(A85, KeyData!A:C,1,FALSE)</f>
        <v>#N/A</v>
      </c>
      <c r="P85" s="439"/>
    </row>
    <row r="86" spans="1:16" x14ac:dyDescent="0.25">
      <c r="A86" s="439" t="str">
        <f t="shared" si="1"/>
        <v>122622000_235</v>
      </c>
      <c r="B86" s="1006" t="s">
        <v>1156</v>
      </c>
      <c r="C86" s="796" t="s">
        <v>1157</v>
      </c>
      <c r="D86" s="794" t="s">
        <v>1146</v>
      </c>
      <c r="E86" s="794" t="s">
        <v>1147</v>
      </c>
      <c r="F86" s="979"/>
      <c r="G86" s="979">
        <v>-4368.2299999999996</v>
      </c>
      <c r="H86" s="979">
        <v>1200.5509999999999</v>
      </c>
      <c r="I86" s="979"/>
      <c r="J86" s="979">
        <v>335.77199999999999</v>
      </c>
      <c r="K86" s="979">
        <v>335.77199999999999</v>
      </c>
      <c r="L86" s="982"/>
      <c r="M86" s="439"/>
      <c r="N86" t="e">
        <f>VLOOKUP(A86, 'P&amp;L'!A:B,1,FALSE)</f>
        <v>#N/A</v>
      </c>
      <c r="O86" t="e">
        <f>VLOOKUP(A86, KeyData!A:C,1,FALSE)</f>
        <v>#N/A</v>
      </c>
      <c r="P86" s="439"/>
    </row>
    <row r="87" spans="1:16" x14ac:dyDescent="0.25">
      <c r="A87" s="439" t="str">
        <f t="shared" si="1"/>
        <v>122622000_260</v>
      </c>
      <c r="B87" s="1006" t="s">
        <v>1156</v>
      </c>
      <c r="C87" s="796" t="s">
        <v>1157</v>
      </c>
      <c r="D87" s="794" t="s">
        <v>1128</v>
      </c>
      <c r="E87" s="794" t="s">
        <v>1122</v>
      </c>
      <c r="F87" s="979"/>
      <c r="G87" s="979">
        <v>0</v>
      </c>
      <c r="H87" s="979">
        <v>0</v>
      </c>
      <c r="I87" s="979"/>
      <c r="J87" s="979">
        <v>0</v>
      </c>
      <c r="K87" s="979">
        <v>0</v>
      </c>
      <c r="L87" s="982"/>
      <c r="M87" s="439"/>
      <c r="N87" t="e">
        <f>VLOOKUP(A87, 'P&amp;L'!A:B,1,FALSE)</f>
        <v>#N/A</v>
      </c>
      <c r="O87" t="e">
        <f>VLOOKUP(A87, KeyData!A:C,1,FALSE)</f>
        <v>#N/A</v>
      </c>
      <c r="P87" s="439"/>
    </row>
    <row r="88" spans="1:16" x14ac:dyDescent="0.25">
      <c r="A88" s="439" t="str">
        <f t="shared" si="1"/>
        <v>122622000_Result</v>
      </c>
      <c r="B88" s="1006" t="s">
        <v>1156</v>
      </c>
      <c r="C88" s="796" t="s">
        <v>1157</v>
      </c>
      <c r="D88" s="824" t="s">
        <v>1129</v>
      </c>
      <c r="E88" s="822"/>
      <c r="F88" s="980"/>
      <c r="G88" s="980">
        <v>560455.81700000004</v>
      </c>
      <c r="H88" s="980">
        <v>613546.35600000003</v>
      </c>
      <c r="I88" s="980">
        <v>621613.00300000003</v>
      </c>
      <c r="J88" s="980">
        <v>523766.55300000001</v>
      </c>
      <c r="K88" s="980">
        <v>520292.913</v>
      </c>
      <c r="L88" s="983">
        <v>756449.29599999997</v>
      </c>
      <c r="M88" s="439"/>
      <c r="N88" t="e">
        <f>VLOOKUP(A88, 'P&amp;L'!A:B,1,FALSE)</f>
        <v>#N/A</v>
      </c>
      <c r="O88" t="e">
        <f>VLOOKUP(A88, KeyData!A:C,1,FALSE)</f>
        <v>#N/A</v>
      </c>
      <c r="P88" s="439"/>
    </row>
    <row r="89" spans="1:16" x14ac:dyDescent="0.25">
      <c r="A89" s="439" t="str">
        <f t="shared" si="1"/>
        <v>122627000_100</v>
      </c>
      <c r="B89" s="1006" t="s">
        <v>1158</v>
      </c>
      <c r="C89" s="796" t="s">
        <v>1159</v>
      </c>
      <c r="D89" s="794" t="s">
        <v>1115</v>
      </c>
      <c r="E89" s="794" t="s">
        <v>1116</v>
      </c>
      <c r="F89" s="979"/>
      <c r="G89" s="979">
        <v>54466.485000000001</v>
      </c>
      <c r="H89" s="979">
        <v>69517.691999999995</v>
      </c>
      <c r="I89" s="979">
        <v>58773.853999999999</v>
      </c>
      <c r="J89" s="979">
        <v>69517.691999999995</v>
      </c>
      <c r="K89" s="979">
        <v>69517.691999999995</v>
      </c>
      <c r="L89" s="982">
        <v>76098.789999999994</v>
      </c>
      <c r="M89" s="439"/>
      <c r="N89" t="e">
        <f>VLOOKUP(A89, 'P&amp;L'!A:B,1,FALSE)</f>
        <v>#N/A</v>
      </c>
      <c r="O89" t="e">
        <f>VLOOKUP(A89, KeyData!A:C,1,FALSE)</f>
        <v>#N/A</v>
      </c>
      <c r="P89" s="439"/>
    </row>
    <row r="90" spans="1:16" x14ac:dyDescent="0.25">
      <c r="A90" s="439" t="str">
        <f t="shared" si="1"/>
        <v>122627000_110</v>
      </c>
      <c r="B90" s="1006" t="s">
        <v>1158</v>
      </c>
      <c r="C90" s="796" t="s">
        <v>1159</v>
      </c>
      <c r="D90" s="794" t="s">
        <v>1117</v>
      </c>
      <c r="E90" s="794" t="s">
        <v>1118</v>
      </c>
      <c r="F90" s="979"/>
      <c r="G90" s="979">
        <v>24124.691999999999</v>
      </c>
      <c r="H90" s="979">
        <v>14465.304</v>
      </c>
      <c r="I90" s="979">
        <v>43975.159</v>
      </c>
      <c r="J90" s="979">
        <v>4622.3999999999996</v>
      </c>
      <c r="K90" s="979">
        <v>4838.3999999999996</v>
      </c>
      <c r="L90" s="982">
        <v>9659.82</v>
      </c>
      <c r="M90" s="439"/>
      <c r="N90" t="e">
        <f>VLOOKUP(A90, 'P&amp;L'!A:B,1,FALSE)</f>
        <v>#N/A</v>
      </c>
      <c r="O90" t="str">
        <f>VLOOKUP(A90, KeyData!A:C,1,FALSE)</f>
        <v>122627000_110</v>
      </c>
      <c r="P90" s="439"/>
    </row>
    <row r="91" spans="1:16" x14ac:dyDescent="0.25">
      <c r="A91" s="439" t="str">
        <f t="shared" si="1"/>
        <v>122627000_122</v>
      </c>
      <c r="B91" s="1006" t="s">
        <v>1158</v>
      </c>
      <c r="C91" s="796" t="s">
        <v>1159</v>
      </c>
      <c r="D91" s="794" t="s">
        <v>1136</v>
      </c>
      <c r="E91" s="794" t="s">
        <v>1137</v>
      </c>
      <c r="F91" s="979"/>
      <c r="G91" s="979">
        <v>-1582.1420000000001</v>
      </c>
      <c r="H91" s="979"/>
      <c r="I91" s="979"/>
      <c r="J91" s="979"/>
      <c r="K91" s="979"/>
      <c r="L91" s="982"/>
      <c r="M91" s="439"/>
      <c r="N91" t="e">
        <f>VLOOKUP(A91, 'P&amp;L'!A:B,1,FALSE)</f>
        <v>#N/A</v>
      </c>
      <c r="O91" t="e">
        <f>VLOOKUP(A91, KeyData!A:C,1,FALSE)</f>
        <v>#N/A</v>
      </c>
      <c r="P91" s="439"/>
    </row>
    <row r="92" spans="1:16" x14ac:dyDescent="0.25">
      <c r="A92" s="439" t="str">
        <f t="shared" si="1"/>
        <v>122627000_135</v>
      </c>
      <c r="B92" s="1006" t="s">
        <v>1158</v>
      </c>
      <c r="C92" s="796" t="s">
        <v>1159</v>
      </c>
      <c r="D92" s="794" t="s">
        <v>1140</v>
      </c>
      <c r="E92" s="794" t="s">
        <v>1141</v>
      </c>
      <c r="F92" s="979"/>
      <c r="G92" s="979">
        <v>237.14400000000001</v>
      </c>
      <c r="H92" s="979">
        <v>1446.778</v>
      </c>
      <c r="I92" s="979"/>
      <c r="J92" s="979">
        <v>1526.6980000000001</v>
      </c>
      <c r="K92" s="979">
        <v>1526.6980000000001</v>
      </c>
      <c r="L92" s="982"/>
      <c r="M92" s="439"/>
      <c r="N92" t="e">
        <f>VLOOKUP(A92, 'P&amp;L'!A:B,1,FALSE)</f>
        <v>#N/A</v>
      </c>
      <c r="O92" t="e">
        <f>VLOOKUP(A92, KeyData!A:C,1,FALSE)</f>
        <v>#N/A</v>
      </c>
      <c r="P92" s="439"/>
    </row>
    <row r="93" spans="1:16" x14ac:dyDescent="0.25">
      <c r="A93" s="439" t="str">
        <f t="shared" si="1"/>
        <v>122627000_160</v>
      </c>
      <c r="B93" s="1006" t="s">
        <v>1158</v>
      </c>
      <c r="C93" s="796" t="s">
        <v>1159</v>
      </c>
      <c r="D93" s="794" t="s">
        <v>1121</v>
      </c>
      <c r="E93" s="794" t="s">
        <v>1122</v>
      </c>
      <c r="F93" s="979"/>
      <c r="G93" s="979">
        <v>0</v>
      </c>
      <c r="H93" s="979">
        <v>0</v>
      </c>
      <c r="I93" s="979"/>
      <c r="J93" s="979">
        <v>0</v>
      </c>
      <c r="K93" s="979">
        <v>0</v>
      </c>
      <c r="L93" s="982"/>
      <c r="M93" s="439"/>
      <c r="N93" t="e">
        <f>VLOOKUP(A93, 'P&amp;L'!A:B,1,FALSE)</f>
        <v>#N/A</v>
      </c>
      <c r="O93" t="e">
        <f>VLOOKUP(A93, KeyData!A:C,1,FALSE)</f>
        <v>#N/A</v>
      </c>
      <c r="P93" s="439"/>
    </row>
    <row r="94" spans="1:16" x14ac:dyDescent="0.25">
      <c r="A94" s="439" t="str">
        <f t="shared" si="1"/>
        <v>122627000_200</v>
      </c>
      <c r="B94" s="1006" t="s">
        <v>1158</v>
      </c>
      <c r="C94" s="796" t="s">
        <v>1159</v>
      </c>
      <c r="D94" s="794" t="s">
        <v>1123</v>
      </c>
      <c r="E94" s="794" t="s">
        <v>1116</v>
      </c>
      <c r="F94" s="979"/>
      <c r="G94" s="979">
        <v>-40101.442999999999</v>
      </c>
      <c r="H94" s="979">
        <v>-41696.127999999997</v>
      </c>
      <c r="I94" s="979">
        <v>-46109.97</v>
      </c>
      <c r="J94" s="979">
        <v>-41696.127999999997</v>
      </c>
      <c r="K94" s="979">
        <v>-41696.127999999997</v>
      </c>
      <c r="L94" s="982">
        <v>-48969.659</v>
      </c>
      <c r="M94" s="439"/>
      <c r="N94" t="e">
        <f>VLOOKUP(A94, 'P&amp;L'!A:B,1,FALSE)</f>
        <v>#N/A</v>
      </c>
      <c r="O94" t="e">
        <f>VLOOKUP(A94, KeyData!A:C,1,FALSE)</f>
        <v>#N/A</v>
      </c>
      <c r="P94" s="439"/>
    </row>
    <row r="95" spans="1:16" x14ac:dyDescent="0.25">
      <c r="A95" s="439" t="str">
        <f t="shared" si="1"/>
        <v>122627000_210</v>
      </c>
      <c r="B95" s="1006" t="s">
        <v>1158</v>
      </c>
      <c r="C95" s="796" t="s">
        <v>1159</v>
      </c>
      <c r="D95" s="794" t="s">
        <v>1124</v>
      </c>
      <c r="E95" s="794" t="s">
        <v>1125</v>
      </c>
      <c r="F95" s="979"/>
      <c r="G95" s="979">
        <v>-7625.9390000000003</v>
      </c>
      <c r="H95" s="979">
        <v>-5090.2389999999996</v>
      </c>
      <c r="I95" s="979">
        <v>-8894.3160000000007</v>
      </c>
      <c r="J95" s="979">
        <v>-7077.5450000000001</v>
      </c>
      <c r="K95" s="979">
        <v>-7106.3450000000003</v>
      </c>
      <c r="L95" s="982">
        <v>-12444.492</v>
      </c>
      <c r="M95" s="439"/>
      <c r="N95" t="e">
        <f>VLOOKUP(A95, 'P&amp;L'!A:B,1,FALSE)</f>
        <v>#N/A</v>
      </c>
      <c r="O95" t="e">
        <f>VLOOKUP(A95, KeyData!A:C,1,FALSE)</f>
        <v>#N/A</v>
      </c>
      <c r="P95" s="439"/>
    </row>
    <row r="96" spans="1:16" x14ac:dyDescent="0.25">
      <c r="A96" s="439" t="str">
        <f t="shared" si="1"/>
        <v>122627000_222</v>
      </c>
      <c r="B96" s="1006" t="s">
        <v>1158</v>
      </c>
      <c r="C96" s="796" t="s">
        <v>1159</v>
      </c>
      <c r="D96" s="794" t="s">
        <v>1144</v>
      </c>
      <c r="E96" s="794" t="s">
        <v>1145</v>
      </c>
      <c r="F96" s="979"/>
      <c r="G96" s="979">
        <v>1582.1420000000001</v>
      </c>
      <c r="H96" s="979"/>
      <c r="I96" s="979"/>
      <c r="J96" s="979"/>
      <c r="K96" s="979"/>
      <c r="L96" s="982"/>
      <c r="M96" s="439"/>
      <c r="N96" t="e">
        <f>VLOOKUP(A96, 'P&amp;L'!A:B,1,FALSE)</f>
        <v>#N/A</v>
      </c>
      <c r="O96" t="e">
        <f>VLOOKUP(A96, KeyData!A:C,1,FALSE)</f>
        <v>#N/A</v>
      </c>
      <c r="P96" s="439"/>
    </row>
    <row r="97" spans="1:16" x14ac:dyDescent="0.25">
      <c r="A97" s="439" t="str">
        <f t="shared" si="1"/>
        <v>122627000_235</v>
      </c>
      <c r="B97" s="1006" t="s">
        <v>1158</v>
      </c>
      <c r="C97" s="796" t="s">
        <v>1159</v>
      </c>
      <c r="D97" s="794" t="s">
        <v>1146</v>
      </c>
      <c r="E97" s="794" t="s">
        <v>1147</v>
      </c>
      <c r="F97" s="979"/>
      <c r="G97" s="979">
        <v>-59.286000000000001</v>
      </c>
      <c r="H97" s="979">
        <v>-98.194999999999993</v>
      </c>
      <c r="I97" s="979"/>
      <c r="J97" s="979">
        <v>-178.11500000000001</v>
      </c>
      <c r="K97" s="979">
        <v>-178.11500000000001</v>
      </c>
      <c r="L97" s="982"/>
      <c r="M97" s="439"/>
      <c r="N97" t="e">
        <f>VLOOKUP(A97, 'P&amp;L'!A:B,1,FALSE)</f>
        <v>#N/A</v>
      </c>
      <c r="O97" t="e">
        <f>VLOOKUP(A97, KeyData!A:C,1,FALSE)</f>
        <v>#N/A</v>
      </c>
      <c r="P97" s="439"/>
    </row>
    <row r="98" spans="1:16" x14ac:dyDescent="0.25">
      <c r="A98" s="439" t="str">
        <f t="shared" si="1"/>
        <v>122627000_260</v>
      </c>
      <c r="B98" s="1006" t="s">
        <v>1158</v>
      </c>
      <c r="C98" s="796" t="s">
        <v>1159</v>
      </c>
      <c r="D98" s="794" t="s">
        <v>1128</v>
      </c>
      <c r="E98" s="794" t="s">
        <v>1122</v>
      </c>
      <c r="F98" s="979"/>
      <c r="G98" s="979">
        <v>0</v>
      </c>
      <c r="H98" s="979">
        <v>0</v>
      </c>
      <c r="I98" s="979"/>
      <c r="J98" s="979">
        <v>0</v>
      </c>
      <c r="K98" s="979">
        <v>0</v>
      </c>
      <c r="L98" s="982"/>
      <c r="M98" s="439"/>
      <c r="N98" t="e">
        <f>VLOOKUP(A98, 'P&amp;L'!A:B,1,FALSE)</f>
        <v>#N/A</v>
      </c>
      <c r="O98" t="e">
        <f>VLOOKUP(A98, KeyData!A:C,1,FALSE)</f>
        <v>#N/A</v>
      </c>
      <c r="P98" s="439"/>
    </row>
    <row r="99" spans="1:16" x14ac:dyDescent="0.25">
      <c r="A99" s="439" t="str">
        <f t="shared" si="1"/>
        <v>122627000_Result</v>
      </c>
      <c r="B99" s="1006" t="s">
        <v>1158</v>
      </c>
      <c r="C99" s="796" t="s">
        <v>1159</v>
      </c>
      <c r="D99" s="824" t="s">
        <v>1129</v>
      </c>
      <c r="E99" s="822"/>
      <c r="F99" s="980"/>
      <c r="G99" s="980">
        <v>31041.652999999998</v>
      </c>
      <c r="H99" s="980">
        <v>38545.212</v>
      </c>
      <c r="I99" s="980">
        <v>47744.726999999999</v>
      </c>
      <c r="J99" s="980">
        <v>26715.002</v>
      </c>
      <c r="K99" s="980">
        <v>26902.202000000001</v>
      </c>
      <c r="L99" s="983">
        <v>24344.458999999999</v>
      </c>
      <c r="M99" s="439"/>
      <c r="N99" t="e">
        <f>VLOOKUP(A99, 'P&amp;L'!A:B,1,FALSE)</f>
        <v>#N/A</v>
      </c>
      <c r="O99" t="e">
        <f>VLOOKUP(A99, KeyData!A:C,1,FALSE)</f>
        <v>#N/A</v>
      </c>
      <c r="P99" s="439"/>
    </row>
    <row r="100" spans="1:16" x14ac:dyDescent="0.25">
      <c r="A100" s="439" t="str">
        <f t="shared" si="1"/>
        <v>122628000_100</v>
      </c>
      <c r="B100" s="1006" t="s">
        <v>1160</v>
      </c>
      <c r="C100" s="796" t="s">
        <v>1161</v>
      </c>
      <c r="D100" s="794" t="s">
        <v>1115</v>
      </c>
      <c r="E100" s="794" t="s">
        <v>1116</v>
      </c>
      <c r="F100" s="979"/>
      <c r="G100" s="979">
        <v>7119.9709999999995</v>
      </c>
      <c r="H100" s="979">
        <v>4881.384</v>
      </c>
      <c r="I100" s="979">
        <v>11925.873</v>
      </c>
      <c r="J100" s="979">
        <v>4881.384</v>
      </c>
      <c r="K100" s="979">
        <v>4881.384</v>
      </c>
      <c r="L100" s="982">
        <v>4881.384</v>
      </c>
      <c r="M100" s="439"/>
      <c r="N100" t="e">
        <f>VLOOKUP(A100, 'P&amp;L'!A:B,1,FALSE)</f>
        <v>#N/A</v>
      </c>
      <c r="O100" t="e">
        <f>VLOOKUP(A100, KeyData!A:C,1,FALSE)</f>
        <v>#N/A</v>
      </c>
      <c r="P100" s="439"/>
    </row>
    <row r="101" spans="1:16" x14ac:dyDescent="0.25">
      <c r="A101" s="439" t="str">
        <f t="shared" si="1"/>
        <v>122628000_110</v>
      </c>
      <c r="B101" s="1006" t="s">
        <v>1160</v>
      </c>
      <c r="C101" s="796" t="s">
        <v>1161</v>
      </c>
      <c r="D101" s="794" t="s">
        <v>1117</v>
      </c>
      <c r="E101" s="794" t="s">
        <v>1118</v>
      </c>
      <c r="F101" s="979"/>
      <c r="G101" s="979">
        <v>5328.8339999999998</v>
      </c>
      <c r="H101" s="979"/>
      <c r="I101" s="979"/>
      <c r="J101" s="979"/>
      <c r="K101" s="979"/>
      <c r="L101" s="982">
        <v>3394.348</v>
      </c>
      <c r="M101" s="439"/>
      <c r="N101" t="e">
        <f>VLOOKUP(A101, 'P&amp;L'!A:B,1,FALSE)</f>
        <v>#N/A</v>
      </c>
      <c r="O101" t="e">
        <f>VLOOKUP(A101, KeyData!A:C,1,FALSE)</f>
        <v>#N/A</v>
      </c>
      <c r="P101" s="439"/>
    </row>
    <row r="102" spans="1:16" x14ac:dyDescent="0.25">
      <c r="A102" s="439" t="str">
        <f t="shared" si="1"/>
        <v>122628000_120</v>
      </c>
      <c r="B102" s="1006" t="s">
        <v>1160</v>
      </c>
      <c r="C102" s="796" t="s">
        <v>1161</v>
      </c>
      <c r="D102" s="794" t="s">
        <v>1119</v>
      </c>
      <c r="E102" s="794" t="s">
        <v>1120</v>
      </c>
      <c r="F102" s="979"/>
      <c r="G102" s="979">
        <v>-5226.942</v>
      </c>
      <c r="H102" s="979"/>
      <c r="I102" s="979"/>
      <c r="J102" s="979"/>
      <c r="K102" s="979"/>
      <c r="L102" s="982"/>
      <c r="M102" s="439"/>
      <c r="N102" t="e">
        <f>VLOOKUP(A102, 'P&amp;L'!A:B,1,FALSE)</f>
        <v>#N/A</v>
      </c>
      <c r="O102" t="e">
        <f>VLOOKUP(A102, KeyData!A:C,1,FALSE)</f>
        <v>#N/A</v>
      </c>
      <c r="P102" s="439"/>
    </row>
    <row r="103" spans="1:16" x14ac:dyDescent="0.25">
      <c r="A103" s="439" t="str">
        <f t="shared" si="1"/>
        <v>122628000_135</v>
      </c>
      <c r="B103" s="1006" t="s">
        <v>1160</v>
      </c>
      <c r="C103" s="796" t="s">
        <v>1161</v>
      </c>
      <c r="D103" s="794" t="s">
        <v>1140</v>
      </c>
      <c r="E103" s="794" t="s">
        <v>1141</v>
      </c>
      <c r="F103" s="979"/>
      <c r="G103" s="979">
        <v>1E-3</v>
      </c>
      <c r="H103" s="979"/>
      <c r="I103" s="979"/>
      <c r="J103" s="979"/>
      <c r="K103" s="979"/>
      <c r="L103" s="982"/>
      <c r="M103" s="439"/>
      <c r="N103" t="e">
        <f>VLOOKUP(A103, 'P&amp;L'!A:B,1,FALSE)</f>
        <v>#N/A</v>
      </c>
      <c r="O103" t="e">
        <f>VLOOKUP(A103, KeyData!A:C,1,FALSE)</f>
        <v>#N/A</v>
      </c>
      <c r="P103" s="439"/>
    </row>
    <row r="104" spans="1:16" x14ac:dyDescent="0.25">
      <c r="A104" s="439" t="str">
        <f t="shared" si="1"/>
        <v>122628000_160</v>
      </c>
      <c r="B104" s="1006" t="s">
        <v>1160</v>
      </c>
      <c r="C104" s="796" t="s">
        <v>1161</v>
      </c>
      <c r="D104" s="794" t="s">
        <v>1121</v>
      </c>
      <c r="E104" s="794" t="s">
        <v>1122</v>
      </c>
      <c r="F104" s="979"/>
      <c r="G104" s="979">
        <v>0</v>
      </c>
      <c r="H104" s="979">
        <v>0</v>
      </c>
      <c r="I104" s="979"/>
      <c r="J104" s="979">
        <v>0</v>
      </c>
      <c r="K104" s="979">
        <v>0</v>
      </c>
      <c r="L104" s="982"/>
      <c r="M104" s="439"/>
      <c r="N104" t="e">
        <f>VLOOKUP(A104, 'P&amp;L'!A:B,1,FALSE)</f>
        <v>#N/A</v>
      </c>
      <c r="O104" t="e">
        <f>VLOOKUP(A104, KeyData!A:C,1,FALSE)</f>
        <v>#N/A</v>
      </c>
      <c r="P104" s="439"/>
    </row>
    <row r="105" spans="1:16" x14ac:dyDescent="0.25">
      <c r="A105" s="439" t="str">
        <f t="shared" si="1"/>
        <v>122628000_200</v>
      </c>
      <c r="B105" s="1006" t="s">
        <v>1160</v>
      </c>
      <c r="C105" s="796" t="s">
        <v>1161</v>
      </c>
      <c r="D105" s="794" t="s">
        <v>1123</v>
      </c>
      <c r="E105" s="794" t="s">
        <v>1116</v>
      </c>
      <c r="F105" s="979"/>
      <c r="G105" s="979">
        <v>-3856.5230000000001</v>
      </c>
      <c r="H105" s="979">
        <v>-1146.9739999999999</v>
      </c>
      <c r="I105" s="979">
        <v>-4572.1040000000003</v>
      </c>
      <c r="J105" s="979">
        <v>-1146.9739999999999</v>
      </c>
      <c r="K105" s="979">
        <v>-1146.9739999999999</v>
      </c>
      <c r="L105" s="982">
        <v>-4579.549</v>
      </c>
      <c r="M105" s="439"/>
      <c r="N105" t="e">
        <f>VLOOKUP(A105, 'P&amp;L'!A:B,1,FALSE)</f>
        <v>#N/A</v>
      </c>
      <c r="O105" t="e">
        <f>VLOOKUP(A105, KeyData!A:C,1,FALSE)</f>
        <v>#N/A</v>
      </c>
      <c r="P105" s="439"/>
    </row>
    <row r="106" spans="1:16" x14ac:dyDescent="0.25">
      <c r="A106" s="439" t="str">
        <f t="shared" si="1"/>
        <v>122628000_210</v>
      </c>
      <c r="B106" s="1006" t="s">
        <v>1160</v>
      </c>
      <c r="C106" s="796" t="s">
        <v>1161</v>
      </c>
      <c r="D106" s="794" t="s">
        <v>1124</v>
      </c>
      <c r="E106" s="794" t="s">
        <v>1125</v>
      </c>
      <c r="F106" s="979"/>
      <c r="G106" s="979">
        <v>-2253.364</v>
      </c>
      <c r="H106" s="979">
        <v>-1078.7819999999999</v>
      </c>
      <c r="I106" s="979">
        <v>-2387.88</v>
      </c>
      <c r="J106" s="979">
        <v>-3432.5749999999998</v>
      </c>
      <c r="K106" s="979">
        <v>-3432.5749999999998</v>
      </c>
      <c r="L106" s="982">
        <v>-16755.324000000001</v>
      </c>
      <c r="M106" s="439"/>
      <c r="N106" t="e">
        <f>VLOOKUP(A106, 'P&amp;L'!A:B,1,FALSE)</f>
        <v>#N/A</v>
      </c>
      <c r="O106" t="e">
        <f>VLOOKUP(A106, KeyData!A:C,1,FALSE)</f>
        <v>#N/A</v>
      </c>
      <c r="P106" s="439"/>
    </row>
    <row r="107" spans="1:16" x14ac:dyDescent="0.25">
      <c r="A107" s="439" t="str">
        <f t="shared" si="1"/>
        <v>122628000_220</v>
      </c>
      <c r="B107" s="1006" t="s">
        <v>1160</v>
      </c>
      <c r="C107" s="796" t="s">
        <v>1161</v>
      </c>
      <c r="D107" s="794" t="s">
        <v>1126</v>
      </c>
      <c r="E107" s="794" t="s">
        <v>1127</v>
      </c>
      <c r="F107" s="979"/>
      <c r="G107" s="979">
        <v>4336.2920000000004</v>
      </c>
      <c r="H107" s="979"/>
      <c r="I107" s="979"/>
      <c r="J107" s="979"/>
      <c r="K107" s="979"/>
      <c r="L107" s="982"/>
      <c r="M107" s="439"/>
      <c r="N107" t="e">
        <f>VLOOKUP(A107, 'P&amp;L'!A:B,1,FALSE)</f>
        <v>#N/A</v>
      </c>
      <c r="O107" t="e">
        <f>VLOOKUP(A107, KeyData!A:C,1,FALSE)</f>
        <v>#N/A</v>
      </c>
      <c r="P107" s="439"/>
    </row>
    <row r="108" spans="1:16" x14ac:dyDescent="0.25">
      <c r="A108" s="439" t="str">
        <f t="shared" si="1"/>
        <v>122628000_235</v>
      </c>
      <c r="B108" s="1006" t="s">
        <v>1160</v>
      </c>
      <c r="C108" s="796" t="s">
        <v>1161</v>
      </c>
      <c r="D108" s="794" t="s">
        <v>1146</v>
      </c>
      <c r="E108" s="794" t="s">
        <v>1147</v>
      </c>
      <c r="F108" s="979"/>
      <c r="G108" s="979">
        <v>-219.208</v>
      </c>
      <c r="H108" s="979"/>
      <c r="I108" s="979"/>
      <c r="J108" s="979"/>
      <c r="K108" s="979"/>
      <c r="L108" s="982"/>
      <c r="M108" s="439"/>
      <c r="N108" t="e">
        <f>VLOOKUP(A108, 'P&amp;L'!A:B,1,FALSE)</f>
        <v>#N/A</v>
      </c>
      <c r="O108" t="e">
        <f>VLOOKUP(A108, KeyData!A:C,1,FALSE)</f>
        <v>#N/A</v>
      </c>
      <c r="P108" s="439"/>
    </row>
    <row r="109" spans="1:16" x14ac:dyDescent="0.25">
      <c r="A109" s="439" t="str">
        <f t="shared" si="1"/>
        <v>122628000_260</v>
      </c>
      <c r="B109" s="1006" t="s">
        <v>1160</v>
      </c>
      <c r="C109" s="796" t="s">
        <v>1161</v>
      </c>
      <c r="D109" s="794" t="s">
        <v>1128</v>
      </c>
      <c r="E109" s="794" t="s">
        <v>1122</v>
      </c>
      <c r="F109" s="979"/>
      <c r="G109" s="979">
        <v>0</v>
      </c>
      <c r="H109" s="979">
        <v>0</v>
      </c>
      <c r="I109" s="979"/>
      <c r="J109" s="979">
        <v>0</v>
      </c>
      <c r="K109" s="979">
        <v>0</v>
      </c>
      <c r="L109" s="982"/>
      <c r="M109" s="439"/>
      <c r="N109" t="e">
        <f>VLOOKUP(A109, 'P&amp;L'!A:B,1,FALSE)</f>
        <v>#N/A</v>
      </c>
      <c r="O109" t="e">
        <f>VLOOKUP(A109, KeyData!A:C,1,FALSE)</f>
        <v>#N/A</v>
      </c>
      <c r="P109" s="439"/>
    </row>
    <row r="110" spans="1:16" x14ac:dyDescent="0.25">
      <c r="A110" s="439" t="str">
        <f t="shared" si="1"/>
        <v>122628000_Result</v>
      </c>
      <c r="B110" s="1006" t="s">
        <v>1160</v>
      </c>
      <c r="C110" s="796" t="s">
        <v>1161</v>
      </c>
      <c r="D110" s="824" t="s">
        <v>1129</v>
      </c>
      <c r="E110" s="822"/>
      <c r="F110" s="980"/>
      <c r="G110" s="980">
        <v>5229.0609999999997</v>
      </c>
      <c r="H110" s="980">
        <v>2655.6280000000002</v>
      </c>
      <c r="I110" s="980">
        <v>4965.8890000000001</v>
      </c>
      <c r="J110" s="980">
        <v>301.83499999999998</v>
      </c>
      <c r="K110" s="980">
        <v>301.83499999999998</v>
      </c>
      <c r="L110" s="983">
        <v>-13059.141</v>
      </c>
      <c r="M110" s="439"/>
      <c r="N110" t="e">
        <f>VLOOKUP(A110, 'P&amp;L'!A:B,1,FALSE)</f>
        <v>#N/A</v>
      </c>
      <c r="O110" t="e">
        <f>VLOOKUP(A110, KeyData!A:C,1,FALSE)</f>
        <v>#N/A</v>
      </c>
      <c r="P110" s="439"/>
    </row>
    <row r="111" spans="1:16" x14ac:dyDescent="0.25">
      <c r="A111" s="439" t="str">
        <f t="shared" si="1"/>
        <v>122632000_100</v>
      </c>
      <c r="B111" s="1006" t="s">
        <v>1162</v>
      </c>
      <c r="C111" s="796" t="s">
        <v>1163</v>
      </c>
      <c r="D111" s="794" t="s">
        <v>1115</v>
      </c>
      <c r="E111" s="794" t="s">
        <v>1116</v>
      </c>
      <c r="F111" s="979"/>
      <c r="G111" s="979">
        <v>106000</v>
      </c>
      <c r="H111" s="979">
        <v>129831.08199999999</v>
      </c>
      <c r="I111" s="979">
        <v>106000</v>
      </c>
      <c r="J111" s="979">
        <v>129831.08199999999</v>
      </c>
      <c r="K111" s="979">
        <v>129831.08199999999</v>
      </c>
      <c r="L111" s="982">
        <v>199302.33</v>
      </c>
      <c r="M111" s="439"/>
      <c r="N111" t="e">
        <f>VLOOKUP(A111, 'P&amp;L'!A:B,1,FALSE)</f>
        <v>#N/A</v>
      </c>
      <c r="O111" t="e">
        <f>VLOOKUP(A111, KeyData!A:C,1,FALSE)</f>
        <v>#N/A</v>
      </c>
      <c r="P111" s="439"/>
    </row>
    <row r="112" spans="1:16" x14ac:dyDescent="0.25">
      <c r="A112" s="439" t="str">
        <f t="shared" si="1"/>
        <v>122632000_110</v>
      </c>
      <c r="B112" s="1006" t="s">
        <v>1162</v>
      </c>
      <c r="C112" s="796" t="s">
        <v>1163</v>
      </c>
      <c r="D112" s="794" t="s">
        <v>1117</v>
      </c>
      <c r="E112" s="794" t="s">
        <v>1118</v>
      </c>
      <c r="F112" s="979"/>
      <c r="G112" s="979">
        <v>137949.06200000001</v>
      </c>
      <c r="H112" s="979">
        <v>74689.127999999997</v>
      </c>
      <c r="I112" s="979"/>
      <c r="J112" s="979"/>
      <c r="K112" s="979"/>
      <c r="L112" s="982"/>
      <c r="M112" s="439"/>
      <c r="N112" t="e">
        <f>VLOOKUP(A112, 'P&amp;L'!A:B,1,FALSE)</f>
        <v>#N/A</v>
      </c>
      <c r="O112" t="str">
        <f>VLOOKUP(A112, KeyData!A:C,1,FALSE)</f>
        <v>122632000_110</v>
      </c>
      <c r="P112" s="439"/>
    </row>
    <row r="113" spans="1:16" x14ac:dyDescent="0.25">
      <c r="A113" s="439" t="str">
        <f t="shared" si="1"/>
        <v>122632000_130</v>
      </c>
      <c r="B113" s="1006" t="s">
        <v>1162</v>
      </c>
      <c r="C113" s="796" t="s">
        <v>1163</v>
      </c>
      <c r="D113" s="794" t="s">
        <v>1138</v>
      </c>
      <c r="E113" s="794" t="s">
        <v>1139</v>
      </c>
      <c r="F113" s="979"/>
      <c r="G113" s="979">
        <v>-106000</v>
      </c>
      <c r="H113" s="979">
        <v>-60277.684000000001</v>
      </c>
      <c r="I113" s="979"/>
      <c r="J113" s="979"/>
      <c r="K113" s="979"/>
      <c r="L113" s="982"/>
      <c r="M113" s="439"/>
      <c r="N113" t="e">
        <f>VLOOKUP(A113, 'P&amp;L'!A:B,1,FALSE)</f>
        <v>#N/A</v>
      </c>
      <c r="O113" t="e">
        <f>VLOOKUP(A113, KeyData!A:C,1,FALSE)</f>
        <v>#N/A</v>
      </c>
      <c r="P113" s="439"/>
    </row>
    <row r="114" spans="1:16" x14ac:dyDescent="0.25">
      <c r="A114" s="439" t="str">
        <f t="shared" si="1"/>
        <v>122632000_160</v>
      </c>
      <c r="B114" s="1006" t="s">
        <v>1162</v>
      </c>
      <c r="C114" s="796" t="s">
        <v>1163</v>
      </c>
      <c r="D114" s="794" t="s">
        <v>1121</v>
      </c>
      <c r="E114" s="794" t="s">
        <v>1122</v>
      </c>
      <c r="F114" s="979"/>
      <c r="G114" s="979">
        <v>0</v>
      </c>
      <c r="H114" s="979">
        <v>0</v>
      </c>
      <c r="I114" s="979"/>
      <c r="J114" s="979">
        <v>0</v>
      </c>
      <c r="K114" s="979">
        <v>0</v>
      </c>
      <c r="L114" s="982"/>
      <c r="M114" s="439"/>
      <c r="N114" t="e">
        <f>VLOOKUP(A114, 'P&amp;L'!A:B,1,FALSE)</f>
        <v>#N/A</v>
      </c>
      <c r="O114" t="e">
        <f>VLOOKUP(A114, KeyData!A:C,1,FALSE)</f>
        <v>#N/A</v>
      </c>
      <c r="P114" s="439"/>
    </row>
    <row r="115" spans="1:16" x14ac:dyDescent="0.25">
      <c r="A115" s="439" t="str">
        <f t="shared" si="1"/>
        <v>122632000_Result</v>
      </c>
      <c r="B115" s="1006" t="s">
        <v>1162</v>
      </c>
      <c r="C115" s="796" t="s">
        <v>1163</v>
      </c>
      <c r="D115" s="824" t="s">
        <v>1129</v>
      </c>
      <c r="E115" s="822"/>
      <c r="F115" s="980"/>
      <c r="G115" s="980">
        <v>137949.06200000001</v>
      </c>
      <c r="H115" s="980">
        <v>144242.52600000001</v>
      </c>
      <c r="I115" s="980">
        <v>106000</v>
      </c>
      <c r="J115" s="980">
        <v>129831.08199999999</v>
      </c>
      <c r="K115" s="980">
        <v>129831.08199999999</v>
      </c>
      <c r="L115" s="983">
        <v>199302.33</v>
      </c>
      <c r="M115" s="439"/>
      <c r="N115" t="e">
        <f>VLOOKUP(A115, 'P&amp;L'!A:B,1,FALSE)</f>
        <v>#N/A</v>
      </c>
      <c r="O115" t="e">
        <f>VLOOKUP(A115, KeyData!A:C,1,FALSE)</f>
        <v>#N/A</v>
      </c>
      <c r="P115" s="439"/>
    </row>
    <row r="116" spans="1:16" x14ac:dyDescent="0.25">
      <c r="A116" s="439" t="str">
        <f t="shared" si="1"/>
        <v>122637000_100</v>
      </c>
      <c r="B116" s="1006" t="s">
        <v>1164</v>
      </c>
      <c r="C116" s="796" t="s">
        <v>1165</v>
      </c>
      <c r="D116" s="794" t="s">
        <v>1115</v>
      </c>
      <c r="E116" s="794" t="s">
        <v>1116</v>
      </c>
      <c r="F116" s="979"/>
      <c r="G116" s="979">
        <v>56164.582000000002</v>
      </c>
      <c r="H116" s="979">
        <v>123616.389</v>
      </c>
      <c r="I116" s="979">
        <v>159078.58199999999</v>
      </c>
      <c r="J116" s="979">
        <v>123616.389</v>
      </c>
      <c r="K116" s="979">
        <v>123616.389</v>
      </c>
      <c r="L116" s="982">
        <v>182616.389</v>
      </c>
      <c r="M116" s="439"/>
      <c r="N116" t="e">
        <f>VLOOKUP(A116, 'P&amp;L'!A:B,1,FALSE)</f>
        <v>#N/A</v>
      </c>
      <c r="O116" t="e">
        <f>VLOOKUP(A116, KeyData!A:C,1,FALSE)</f>
        <v>#N/A</v>
      </c>
      <c r="P116" s="439"/>
    </row>
    <row r="117" spans="1:16" x14ac:dyDescent="0.25">
      <c r="A117" s="439" t="str">
        <f t="shared" si="1"/>
        <v>122637000_110</v>
      </c>
      <c r="B117" s="1006" t="s">
        <v>1164</v>
      </c>
      <c r="C117" s="796" t="s">
        <v>1165</v>
      </c>
      <c r="D117" s="794" t="s">
        <v>1117</v>
      </c>
      <c r="E117" s="794" t="s">
        <v>1118</v>
      </c>
      <c r="F117" s="979"/>
      <c r="G117" s="979">
        <v>67451.807000000001</v>
      </c>
      <c r="H117" s="979"/>
      <c r="I117" s="979">
        <v>36015.9</v>
      </c>
      <c r="J117" s="979">
        <v>282440.40000000002</v>
      </c>
      <c r="K117" s="979">
        <v>59000</v>
      </c>
      <c r="L117" s="982">
        <v>122311.9</v>
      </c>
      <c r="M117" s="439"/>
      <c r="N117" t="e">
        <f>VLOOKUP(A117, 'P&amp;L'!A:B,1,FALSE)</f>
        <v>#N/A</v>
      </c>
      <c r="O117" t="str">
        <f>VLOOKUP(A117, KeyData!A:C,1,FALSE)</f>
        <v>122637000_110</v>
      </c>
      <c r="P117" s="439"/>
    </row>
    <row r="118" spans="1:16" x14ac:dyDescent="0.25">
      <c r="A118" s="439" t="str">
        <f t="shared" si="1"/>
        <v>122637000_160</v>
      </c>
      <c r="B118" s="1006" t="s">
        <v>1164</v>
      </c>
      <c r="C118" s="796" t="s">
        <v>1165</v>
      </c>
      <c r="D118" s="794" t="s">
        <v>1121</v>
      </c>
      <c r="E118" s="794" t="s">
        <v>1122</v>
      </c>
      <c r="F118" s="979"/>
      <c r="G118" s="979">
        <v>0</v>
      </c>
      <c r="H118" s="979">
        <v>0</v>
      </c>
      <c r="I118" s="979"/>
      <c r="J118" s="979">
        <v>0</v>
      </c>
      <c r="K118" s="979">
        <v>0</v>
      </c>
      <c r="L118" s="982"/>
      <c r="M118" s="439"/>
      <c r="N118" t="e">
        <f>VLOOKUP(A118, 'P&amp;L'!A:B,1,FALSE)</f>
        <v>#N/A</v>
      </c>
      <c r="O118" t="e">
        <f>VLOOKUP(A118, KeyData!A:C,1,FALSE)</f>
        <v>#N/A</v>
      </c>
      <c r="P118" s="439"/>
    </row>
    <row r="119" spans="1:16" x14ac:dyDescent="0.25">
      <c r="A119" s="439" t="str">
        <f t="shared" si="1"/>
        <v>122637000_200</v>
      </c>
      <c r="B119" s="1006" t="s">
        <v>1164</v>
      </c>
      <c r="C119" s="796" t="s">
        <v>1165</v>
      </c>
      <c r="D119" s="794" t="s">
        <v>1123</v>
      </c>
      <c r="E119" s="794" t="s">
        <v>1116</v>
      </c>
      <c r="F119" s="979"/>
      <c r="G119" s="979">
        <v>-56164.582000000002</v>
      </c>
      <c r="H119" s="979">
        <v>-67786.682000000001</v>
      </c>
      <c r="I119" s="979">
        <v>-72945.256999999998</v>
      </c>
      <c r="J119" s="979">
        <v>-67786.682000000001</v>
      </c>
      <c r="K119" s="979">
        <v>-67786.682000000001</v>
      </c>
      <c r="L119" s="982">
        <v>-84535.593999999997</v>
      </c>
      <c r="M119" s="439"/>
      <c r="N119" t="e">
        <f>VLOOKUP(A119, 'P&amp;L'!A:B,1,FALSE)</f>
        <v>#N/A</v>
      </c>
      <c r="O119" t="e">
        <f>VLOOKUP(A119, KeyData!A:C,1,FALSE)</f>
        <v>#N/A</v>
      </c>
      <c r="P119" s="439"/>
    </row>
    <row r="120" spans="1:16" x14ac:dyDescent="0.25">
      <c r="A120" s="439" t="str">
        <f t="shared" si="1"/>
        <v>122637000_211</v>
      </c>
      <c r="B120" s="1006" t="s">
        <v>1164</v>
      </c>
      <c r="C120" s="796" t="s">
        <v>1165</v>
      </c>
      <c r="D120" s="794" t="s">
        <v>1142</v>
      </c>
      <c r="E120" s="794" t="s">
        <v>1143</v>
      </c>
      <c r="F120" s="979"/>
      <c r="G120" s="979">
        <v>-11622.1</v>
      </c>
      <c r="H120" s="979">
        <v>-8374.4570000000003</v>
      </c>
      <c r="I120" s="979">
        <v>-23501.892</v>
      </c>
      <c r="J120" s="979">
        <v>-21403.920999999998</v>
      </c>
      <c r="K120" s="979">
        <v>-16748.912</v>
      </c>
      <c r="L120" s="982">
        <v>-38264.375999999997</v>
      </c>
      <c r="M120" s="439"/>
      <c r="N120" t="e">
        <f>VLOOKUP(A120, 'P&amp;L'!A:B,1,FALSE)</f>
        <v>#N/A</v>
      </c>
      <c r="O120" t="e">
        <f>VLOOKUP(A120, KeyData!A:C,1,FALSE)</f>
        <v>#N/A</v>
      </c>
      <c r="P120" s="439"/>
    </row>
    <row r="121" spans="1:16" x14ac:dyDescent="0.25">
      <c r="A121" s="439" t="str">
        <f t="shared" si="1"/>
        <v>122637000_260</v>
      </c>
      <c r="B121" s="1006" t="s">
        <v>1164</v>
      </c>
      <c r="C121" s="796" t="s">
        <v>1165</v>
      </c>
      <c r="D121" s="794" t="s">
        <v>1128</v>
      </c>
      <c r="E121" s="794" t="s">
        <v>1122</v>
      </c>
      <c r="F121" s="979"/>
      <c r="G121" s="979">
        <v>0</v>
      </c>
      <c r="H121" s="979">
        <v>0</v>
      </c>
      <c r="I121" s="979"/>
      <c r="J121" s="979">
        <v>0</v>
      </c>
      <c r="K121" s="979">
        <v>0</v>
      </c>
      <c r="L121" s="982"/>
      <c r="M121" s="439"/>
      <c r="N121" t="e">
        <f>VLOOKUP(A121, 'P&amp;L'!A:B,1,FALSE)</f>
        <v>#N/A</v>
      </c>
      <c r="O121" t="e">
        <f>VLOOKUP(A121, KeyData!A:C,1,FALSE)</f>
        <v>#N/A</v>
      </c>
      <c r="P121" s="439"/>
    </row>
    <row r="122" spans="1:16" x14ac:dyDescent="0.25">
      <c r="A122" s="439" t="str">
        <f t="shared" si="1"/>
        <v>122637000_Result</v>
      </c>
      <c r="B122" s="1006" t="s">
        <v>1164</v>
      </c>
      <c r="C122" s="796" t="s">
        <v>1165</v>
      </c>
      <c r="D122" s="824" t="s">
        <v>1129</v>
      </c>
      <c r="E122" s="822"/>
      <c r="F122" s="980"/>
      <c r="G122" s="980">
        <v>55829.707000000002</v>
      </c>
      <c r="H122" s="980">
        <v>47455.25</v>
      </c>
      <c r="I122" s="980">
        <v>98647.332999999999</v>
      </c>
      <c r="J122" s="980">
        <v>316866.18599999999</v>
      </c>
      <c r="K122" s="980">
        <v>98080.794999999998</v>
      </c>
      <c r="L122" s="983">
        <v>182128.31899999999</v>
      </c>
      <c r="M122" s="439"/>
      <c r="N122" t="e">
        <f>VLOOKUP(A122, 'P&amp;L'!A:B,1,FALSE)</f>
        <v>#N/A</v>
      </c>
      <c r="O122" t="e">
        <f>VLOOKUP(A122, KeyData!A:C,1,FALSE)</f>
        <v>#N/A</v>
      </c>
      <c r="P122" s="439"/>
    </row>
    <row r="123" spans="1:16" x14ac:dyDescent="0.25">
      <c r="A123" s="439" t="str">
        <f t="shared" si="1"/>
        <v>131100000_300</v>
      </c>
      <c r="B123" s="1005" t="s">
        <v>1166</v>
      </c>
      <c r="C123" s="795" t="s">
        <v>659</v>
      </c>
      <c r="D123" s="794" t="s">
        <v>1167</v>
      </c>
      <c r="E123" s="794" t="s">
        <v>1116</v>
      </c>
      <c r="F123" s="979"/>
      <c r="G123" s="979">
        <v>147242.72099999999</v>
      </c>
      <c r="H123" s="979">
        <v>1121901.1399999999</v>
      </c>
      <c r="I123" s="979">
        <v>521703.05699999997</v>
      </c>
      <c r="J123" s="979">
        <v>1121901.1399999999</v>
      </c>
      <c r="K123" s="979">
        <v>1121901.1399999999</v>
      </c>
      <c r="L123" s="982">
        <v>3440700.4849999999</v>
      </c>
      <c r="M123" s="439"/>
      <c r="N123" t="e">
        <f>VLOOKUP(A123, 'P&amp;L'!A:B,1,FALSE)</f>
        <v>#N/A</v>
      </c>
      <c r="O123" t="e">
        <f>VLOOKUP(A123, KeyData!A:C,1,FALSE)</f>
        <v>#N/A</v>
      </c>
      <c r="P123" s="439"/>
    </row>
    <row r="124" spans="1:16" x14ac:dyDescent="0.25">
      <c r="A124" s="439" t="str">
        <f t="shared" si="1"/>
        <v>131100000_310</v>
      </c>
      <c r="B124" s="1005" t="s">
        <v>1166</v>
      </c>
      <c r="C124" s="795" t="s">
        <v>659</v>
      </c>
      <c r="D124" s="794" t="s">
        <v>1168</v>
      </c>
      <c r="E124" s="794" t="s">
        <v>1169</v>
      </c>
      <c r="F124" s="979"/>
      <c r="G124" s="979">
        <v>974658.41899999999</v>
      </c>
      <c r="H124" s="979">
        <v>-324670.57</v>
      </c>
      <c r="I124" s="979">
        <v>128344.667</v>
      </c>
      <c r="J124" s="979">
        <v>1979918.953</v>
      </c>
      <c r="K124" s="979">
        <v>2318799.3450000002</v>
      </c>
      <c r="L124" s="982">
        <v>-2216211.2450000001</v>
      </c>
      <c r="M124" s="439"/>
      <c r="N124" t="e">
        <f>VLOOKUP(A124, 'P&amp;L'!A:B,1,FALSE)</f>
        <v>#N/A</v>
      </c>
      <c r="O124" t="e">
        <f>VLOOKUP(A124, KeyData!A:C,1,FALSE)</f>
        <v>#N/A</v>
      </c>
      <c r="P124" s="439"/>
    </row>
    <row r="125" spans="1:16" x14ac:dyDescent="0.25">
      <c r="A125" s="439" t="str">
        <f t="shared" si="1"/>
        <v>131100000_360</v>
      </c>
      <c r="B125" s="1005" t="s">
        <v>1166</v>
      </c>
      <c r="C125" s="795" t="s">
        <v>659</v>
      </c>
      <c r="D125" s="794" t="s">
        <v>1170</v>
      </c>
      <c r="E125" s="794" t="s">
        <v>1122</v>
      </c>
      <c r="F125" s="979"/>
      <c r="G125" s="979">
        <v>0</v>
      </c>
      <c r="H125" s="979">
        <v>0</v>
      </c>
      <c r="I125" s="979"/>
      <c r="J125" s="979">
        <v>0</v>
      </c>
      <c r="K125" s="979">
        <v>0</v>
      </c>
      <c r="L125" s="982"/>
      <c r="M125" s="439"/>
      <c r="N125" t="e">
        <f>VLOOKUP(A125, 'P&amp;L'!A:B,1,FALSE)</f>
        <v>#N/A</v>
      </c>
      <c r="O125" t="e">
        <f>VLOOKUP(A125, KeyData!A:C,1,FALSE)</f>
        <v>#N/A</v>
      </c>
      <c r="P125" s="439"/>
    </row>
    <row r="126" spans="1:16" x14ac:dyDescent="0.25">
      <c r="A126" s="439" t="str">
        <f t="shared" si="1"/>
        <v>131100000_400</v>
      </c>
      <c r="B126" s="1005" t="s">
        <v>1166</v>
      </c>
      <c r="C126" s="795" t="s">
        <v>659</v>
      </c>
      <c r="D126" s="794" t="s">
        <v>1171</v>
      </c>
      <c r="E126" s="794" t="s">
        <v>1116</v>
      </c>
      <c r="F126" s="979"/>
      <c r="G126" s="979">
        <v>9.1029999999999998</v>
      </c>
      <c r="H126" s="979">
        <v>-25192.876</v>
      </c>
      <c r="I126" s="979">
        <v>9.1029999999999998</v>
      </c>
      <c r="J126" s="979">
        <v>-25192.876</v>
      </c>
      <c r="K126" s="979">
        <v>-25192.876</v>
      </c>
      <c r="L126" s="982">
        <v>-24738.044999999998</v>
      </c>
      <c r="M126" s="439"/>
      <c r="N126" t="e">
        <f>VLOOKUP(A126, 'P&amp;L'!A:B,1,FALSE)</f>
        <v>#N/A</v>
      </c>
      <c r="O126" t="e">
        <f>VLOOKUP(A126, KeyData!A:C,1,FALSE)</f>
        <v>#N/A</v>
      </c>
      <c r="P126" s="439"/>
    </row>
    <row r="127" spans="1:16" x14ac:dyDescent="0.25">
      <c r="A127" s="439" t="str">
        <f t="shared" si="1"/>
        <v>131100000_410</v>
      </c>
      <c r="B127" s="1005" t="s">
        <v>1166</v>
      </c>
      <c r="C127" s="795" t="s">
        <v>659</v>
      </c>
      <c r="D127" s="794" t="s">
        <v>1172</v>
      </c>
      <c r="E127" s="794" t="s">
        <v>1173</v>
      </c>
      <c r="F127" s="979"/>
      <c r="G127" s="979">
        <v>-25191.931</v>
      </c>
      <c r="H127" s="979">
        <v>454.83100000000002</v>
      </c>
      <c r="I127" s="979"/>
      <c r="J127" s="979"/>
      <c r="K127" s="979">
        <v>454.83100000000002</v>
      </c>
      <c r="L127" s="982"/>
      <c r="M127" s="439"/>
      <c r="N127" t="e">
        <f>VLOOKUP(A127, 'P&amp;L'!A:B,1,FALSE)</f>
        <v>#N/A</v>
      </c>
      <c r="O127" t="e">
        <f>VLOOKUP(A127, KeyData!A:C,1,FALSE)</f>
        <v>#N/A</v>
      </c>
      <c r="P127" s="439"/>
    </row>
    <row r="128" spans="1:16" x14ac:dyDescent="0.25">
      <c r="A128" s="439" t="str">
        <f t="shared" si="1"/>
        <v>131100000_440</v>
      </c>
      <c r="B128" s="1005" t="s">
        <v>1166</v>
      </c>
      <c r="C128" s="795" t="s">
        <v>659</v>
      </c>
      <c r="D128" s="794" t="s">
        <v>1174</v>
      </c>
      <c r="E128" s="794" t="s">
        <v>1175</v>
      </c>
      <c r="F128" s="979"/>
      <c r="G128" s="979">
        <v>-9.1029999999999998</v>
      </c>
      <c r="H128" s="979"/>
      <c r="I128" s="979"/>
      <c r="J128" s="979"/>
      <c r="K128" s="979"/>
      <c r="L128" s="982"/>
      <c r="M128" s="439"/>
      <c r="N128" t="e">
        <f>VLOOKUP(A128, 'P&amp;L'!A:B,1,FALSE)</f>
        <v>#N/A</v>
      </c>
      <c r="O128" t="e">
        <f>VLOOKUP(A128, KeyData!A:C,1,FALSE)</f>
        <v>#N/A</v>
      </c>
      <c r="P128" s="439"/>
    </row>
    <row r="129" spans="1:16" x14ac:dyDescent="0.25">
      <c r="A129" s="439" t="str">
        <f t="shared" si="1"/>
        <v>131100000_460</v>
      </c>
      <c r="B129" s="1005" t="s">
        <v>1166</v>
      </c>
      <c r="C129" s="795" t="s">
        <v>659</v>
      </c>
      <c r="D129" s="794" t="s">
        <v>1176</v>
      </c>
      <c r="E129" s="794" t="s">
        <v>1122</v>
      </c>
      <c r="F129" s="979"/>
      <c r="G129" s="979">
        <v>0</v>
      </c>
      <c r="H129" s="979">
        <v>0</v>
      </c>
      <c r="I129" s="979"/>
      <c r="J129" s="979">
        <v>0</v>
      </c>
      <c r="K129" s="979">
        <v>0</v>
      </c>
      <c r="L129" s="982"/>
      <c r="M129" s="439"/>
      <c r="N129" t="e">
        <f>VLOOKUP(A129, 'P&amp;L'!A:B,1,FALSE)</f>
        <v>#N/A</v>
      </c>
      <c r="O129" t="e">
        <f>VLOOKUP(A129, KeyData!A:C,1,FALSE)</f>
        <v>#N/A</v>
      </c>
      <c r="P129" s="439"/>
    </row>
    <row r="130" spans="1:16" x14ac:dyDescent="0.25">
      <c r="A130" s="439" t="str">
        <f t="shared" si="1"/>
        <v>131100000_Result</v>
      </c>
      <c r="B130" s="1005" t="s">
        <v>1166</v>
      </c>
      <c r="C130" s="795" t="s">
        <v>659</v>
      </c>
      <c r="D130" s="824" t="s">
        <v>1129</v>
      </c>
      <c r="E130" s="822"/>
      <c r="F130" s="980"/>
      <c r="G130" s="980">
        <v>1096709.209</v>
      </c>
      <c r="H130" s="980">
        <v>772492.52500000002</v>
      </c>
      <c r="I130" s="980">
        <v>650056.82700000005</v>
      </c>
      <c r="J130" s="980">
        <v>3076627.2170000002</v>
      </c>
      <c r="K130" s="980">
        <v>3415962.44</v>
      </c>
      <c r="L130" s="983">
        <v>1199751.1950000001</v>
      </c>
      <c r="M130" s="439"/>
      <c r="N130" t="e">
        <f>VLOOKUP(A130, 'P&amp;L'!A:B,1,FALSE)</f>
        <v>#N/A</v>
      </c>
      <c r="O130" t="str">
        <f>VLOOKUP(A130, KeyData!A:C,1,FALSE)</f>
        <v>131100000_Result</v>
      </c>
      <c r="P130" s="439"/>
    </row>
    <row r="131" spans="1:16" x14ac:dyDescent="0.25">
      <c r="A131" s="439" t="str">
        <f t="shared" ref="A131:A194" si="2" xml:space="preserve"> IFERROR(+B131*1,B131)&amp;"_"&amp;IFERROR(+D131*1,D131)</f>
        <v>131111000_300</v>
      </c>
      <c r="B131" s="1007" t="s">
        <v>1177</v>
      </c>
      <c r="C131" s="796" t="s">
        <v>1178</v>
      </c>
      <c r="D131" s="794" t="s">
        <v>1167</v>
      </c>
      <c r="E131" s="794" t="s">
        <v>1116</v>
      </c>
      <c r="F131" s="979"/>
      <c r="G131" s="979"/>
      <c r="H131" s="979">
        <v>444838.22200000001</v>
      </c>
      <c r="I131" s="979">
        <v>255850.02</v>
      </c>
      <c r="J131" s="979">
        <v>444838.22200000001</v>
      </c>
      <c r="K131" s="979">
        <v>444838.22200000001</v>
      </c>
      <c r="L131" s="982">
        <v>387871.64500000002</v>
      </c>
      <c r="M131" s="439"/>
      <c r="N131" t="e">
        <f>VLOOKUP(A131, 'P&amp;L'!A:B,1,FALSE)</f>
        <v>#N/A</v>
      </c>
      <c r="O131" t="e">
        <f>VLOOKUP(A131, KeyData!A:C,1,FALSE)</f>
        <v>#N/A</v>
      </c>
      <c r="P131" s="439"/>
    </row>
    <row r="132" spans="1:16" x14ac:dyDescent="0.25">
      <c r="A132" s="439" t="str">
        <f t="shared" si="2"/>
        <v>131111000_310</v>
      </c>
      <c r="B132" s="1007" t="s">
        <v>1177</v>
      </c>
      <c r="C132" s="796" t="s">
        <v>1178</v>
      </c>
      <c r="D132" s="794" t="s">
        <v>1168</v>
      </c>
      <c r="E132" s="794" t="s">
        <v>1169</v>
      </c>
      <c r="F132" s="979"/>
      <c r="G132" s="979">
        <v>444838.22200000001</v>
      </c>
      <c r="H132" s="979">
        <v>-46718.116999999998</v>
      </c>
      <c r="I132" s="979">
        <v>20505.714</v>
      </c>
      <c r="J132" s="979">
        <v>-74051.294999999998</v>
      </c>
      <c r="K132" s="979">
        <v>-56966.576999999997</v>
      </c>
      <c r="L132" s="982">
        <v>-186235.465</v>
      </c>
      <c r="M132" s="439"/>
      <c r="N132" t="e">
        <f>VLOOKUP(A132, 'P&amp;L'!A:B,1,FALSE)</f>
        <v>#N/A</v>
      </c>
      <c r="O132" t="e">
        <f>VLOOKUP(A132, KeyData!A:C,1,FALSE)</f>
        <v>#N/A</v>
      </c>
      <c r="P132" s="439"/>
    </row>
    <row r="133" spans="1:16" x14ac:dyDescent="0.25">
      <c r="A133" s="439" t="str">
        <f t="shared" si="2"/>
        <v>131111000_360</v>
      </c>
      <c r="B133" s="1007" t="s">
        <v>1177</v>
      </c>
      <c r="C133" s="796" t="s">
        <v>1178</v>
      </c>
      <c r="D133" s="794" t="s">
        <v>1170</v>
      </c>
      <c r="E133" s="794" t="s">
        <v>1122</v>
      </c>
      <c r="F133" s="979"/>
      <c r="G133" s="979">
        <v>0</v>
      </c>
      <c r="H133" s="979">
        <v>0</v>
      </c>
      <c r="I133" s="979"/>
      <c r="J133" s="979">
        <v>0</v>
      </c>
      <c r="K133" s="979">
        <v>0</v>
      </c>
      <c r="L133" s="982"/>
      <c r="M133" s="439"/>
      <c r="N133" t="e">
        <f>VLOOKUP(A133, 'P&amp;L'!A:B,1,FALSE)</f>
        <v>#N/A</v>
      </c>
      <c r="O133" t="e">
        <f>VLOOKUP(A133, KeyData!A:C,1,FALSE)</f>
        <v>#N/A</v>
      </c>
      <c r="P133" s="439"/>
    </row>
    <row r="134" spans="1:16" x14ac:dyDescent="0.25">
      <c r="A134" s="439" t="str">
        <f t="shared" si="2"/>
        <v>131111000_400</v>
      </c>
      <c r="B134" s="1007" t="s">
        <v>1177</v>
      </c>
      <c r="C134" s="796" t="s">
        <v>1178</v>
      </c>
      <c r="D134" s="794" t="s">
        <v>1171</v>
      </c>
      <c r="E134" s="794" t="s">
        <v>1116</v>
      </c>
      <c r="F134" s="979"/>
      <c r="G134" s="979"/>
      <c r="H134" s="979"/>
      <c r="I134" s="979"/>
      <c r="J134" s="979"/>
      <c r="K134" s="979"/>
      <c r="L134" s="982">
        <v>-11658.035</v>
      </c>
      <c r="M134" s="439"/>
      <c r="N134" t="e">
        <f>VLOOKUP(A134, 'P&amp;L'!A:B,1,FALSE)</f>
        <v>#N/A</v>
      </c>
      <c r="O134" t="e">
        <f>VLOOKUP(A134, KeyData!A:C,1,FALSE)</f>
        <v>#N/A</v>
      </c>
      <c r="P134" s="439"/>
    </row>
    <row r="135" spans="1:16" x14ac:dyDescent="0.25">
      <c r="A135" s="439" t="str">
        <f t="shared" si="2"/>
        <v>131111000_410</v>
      </c>
      <c r="B135" s="1007" t="s">
        <v>1177</v>
      </c>
      <c r="C135" s="796" t="s">
        <v>1178</v>
      </c>
      <c r="D135" s="794" t="s">
        <v>1172</v>
      </c>
      <c r="E135" s="794" t="s">
        <v>1173</v>
      </c>
      <c r="F135" s="979"/>
      <c r="G135" s="979"/>
      <c r="H135" s="979">
        <v>-11658.035</v>
      </c>
      <c r="I135" s="979"/>
      <c r="J135" s="979"/>
      <c r="K135" s="979">
        <v>-11658.035</v>
      </c>
      <c r="L135" s="982"/>
      <c r="M135" s="439"/>
      <c r="N135" t="e">
        <f>VLOOKUP(A135, 'P&amp;L'!A:B,1,FALSE)</f>
        <v>#N/A</v>
      </c>
      <c r="O135" t="e">
        <f>VLOOKUP(A135, KeyData!A:C,1,FALSE)</f>
        <v>#N/A</v>
      </c>
      <c r="P135" s="439"/>
    </row>
    <row r="136" spans="1:16" x14ac:dyDescent="0.25">
      <c r="A136" s="439" t="str">
        <f t="shared" si="2"/>
        <v>131111000_460</v>
      </c>
      <c r="B136" s="1007" t="s">
        <v>1177</v>
      </c>
      <c r="C136" s="796" t="s">
        <v>1178</v>
      </c>
      <c r="D136" s="794" t="s">
        <v>1176</v>
      </c>
      <c r="E136" s="794" t="s">
        <v>1122</v>
      </c>
      <c r="F136" s="979"/>
      <c r="G136" s="979"/>
      <c r="H136" s="979">
        <v>0</v>
      </c>
      <c r="I136" s="979"/>
      <c r="J136" s="979"/>
      <c r="K136" s="979">
        <v>0</v>
      </c>
      <c r="L136" s="982"/>
      <c r="M136" s="439"/>
      <c r="N136" t="e">
        <f>VLOOKUP(A136, 'P&amp;L'!A:B,1,FALSE)</f>
        <v>#N/A</v>
      </c>
      <c r="O136" t="e">
        <f>VLOOKUP(A136, KeyData!A:C,1,FALSE)</f>
        <v>#N/A</v>
      </c>
      <c r="P136" s="439"/>
    </row>
    <row r="137" spans="1:16" x14ac:dyDescent="0.25">
      <c r="A137" s="439" t="str">
        <f t="shared" si="2"/>
        <v>131111000_Result</v>
      </c>
      <c r="B137" s="1007" t="s">
        <v>1177</v>
      </c>
      <c r="C137" s="796" t="s">
        <v>1178</v>
      </c>
      <c r="D137" s="824" t="s">
        <v>1129</v>
      </c>
      <c r="E137" s="822"/>
      <c r="F137" s="980"/>
      <c r="G137" s="980">
        <v>444838.22200000001</v>
      </c>
      <c r="H137" s="980">
        <v>386462.07</v>
      </c>
      <c r="I137" s="980">
        <v>276355.734</v>
      </c>
      <c r="J137" s="980">
        <v>370786.92700000003</v>
      </c>
      <c r="K137" s="980">
        <v>376213.61</v>
      </c>
      <c r="L137" s="983">
        <v>189978.14499999999</v>
      </c>
      <c r="M137" s="439"/>
      <c r="N137" t="e">
        <f>VLOOKUP(A137, 'P&amp;L'!A:B,1,FALSE)</f>
        <v>#N/A</v>
      </c>
      <c r="O137" t="str">
        <f>VLOOKUP(A137, KeyData!A:C,1,FALSE)</f>
        <v>131111000_Result</v>
      </c>
      <c r="P137" s="439"/>
    </row>
    <row r="138" spans="1:16" x14ac:dyDescent="0.25">
      <c r="A138" s="439" t="str">
        <f t="shared" si="2"/>
        <v>131111100_300</v>
      </c>
      <c r="B138" s="1008" t="s">
        <v>1179</v>
      </c>
      <c r="C138" s="797" t="s">
        <v>1180</v>
      </c>
      <c r="D138" s="794" t="s">
        <v>1167</v>
      </c>
      <c r="E138" s="794" t="s">
        <v>1116</v>
      </c>
      <c r="F138" s="979"/>
      <c r="G138" s="979"/>
      <c r="H138" s="979">
        <v>444838.22200000001</v>
      </c>
      <c r="I138" s="979">
        <v>255850.02</v>
      </c>
      <c r="J138" s="979">
        <v>444838.22200000001</v>
      </c>
      <c r="K138" s="979">
        <v>444838.22200000001</v>
      </c>
      <c r="L138" s="982">
        <v>387871.64500000002</v>
      </c>
      <c r="M138" s="439"/>
      <c r="N138" t="e">
        <f>VLOOKUP(A138, 'P&amp;L'!A:B,1,FALSE)</f>
        <v>#N/A</v>
      </c>
      <c r="O138" t="e">
        <f>VLOOKUP(A138, KeyData!A:C,1,FALSE)</f>
        <v>#N/A</v>
      </c>
      <c r="P138" s="439"/>
    </row>
    <row r="139" spans="1:16" x14ac:dyDescent="0.25">
      <c r="A139" s="439" t="str">
        <f t="shared" si="2"/>
        <v>131111100_310</v>
      </c>
      <c r="B139" s="1008" t="s">
        <v>1179</v>
      </c>
      <c r="C139" s="797" t="s">
        <v>1180</v>
      </c>
      <c r="D139" s="794" t="s">
        <v>1168</v>
      </c>
      <c r="E139" s="794" t="s">
        <v>1169</v>
      </c>
      <c r="F139" s="979"/>
      <c r="G139" s="979">
        <v>444838.22200000001</v>
      </c>
      <c r="H139" s="979">
        <v>-46718.116999999998</v>
      </c>
      <c r="I139" s="979">
        <v>20505.714</v>
      </c>
      <c r="J139" s="979">
        <v>-74051.294999999998</v>
      </c>
      <c r="K139" s="979">
        <v>-56966.576999999997</v>
      </c>
      <c r="L139" s="982">
        <v>-186235.465</v>
      </c>
      <c r="M139" s="439"/>
      <c r="N139" t="e">
        <f>VLOOKUP(A139, 'P&amp;L'!A:B,1,FALSE)</f>
        <v>#N/A</v>
      </c>
      <c r="O139" t="e">
        <f>VLOOKUP(A139, KeyData!A:C,1,FALSE)</f>
        <v>#N/A</v>
      </c>
      <c r="P139" s="439"/>
    </row>
    <row r="140" spans="1:16" x14ac:dyDescent="0.25">
      <c r="A140" s="439" t="str">
        <f t="shared" si="2"/>
        <v>131111100_360</v>
      </c>
      <c r="B140" s="1008" t="s">
        <v>1179</v>
      </c>
      <c r="C140" s="797" t="s">
        <v>1180</v>
      </c>
      <c r="D140" s="794" t="s">
        <v>1170</v>
      </c>
      <c r="E140" s="794" t="s">
        <v>1122</v>
      </c>
      <c r="F140" s="979"/>
      <c r="G140" s="979">
        <v>0</v>
      </c>
      <c r="H140" s="979">
        <v>0</v>
      </c>
      <c r="I140" s="979"/>
      <c r="J140" s="979">
        <v>0</v>
      </c>
      <c r="K140" s="979">
        <v>0</v>
      </c>
      <c r="L140" s="982"/>
      <c r="M140" s="439"/>
      <c r="N140" t="e">
        <f>VLOOKUP(A140, 'P&amp;L'!A:B,1,FALSE)</f>
        <v>#N/A</v>
      </c>
      <c r="O140" t="e">
        <f>VLOOKUP(A140, KeyData!A:C,1,FALSE)</f>
        <v>#N/A</v>
      </c>
      <c r="P140" s="439"/>
    </row>
    <row r="141" spans="1:16" x14ac:dyDescent="0.25">
      <c r="A141" s="439" t="str">
        <f t="shared" si="2"/>
        <v>131111100_400</v>
      </c>
      <c r="B141" s="1008" t="s">
        <v>1179</v>
      </c>
      <c r="C141" s="797" t="s">
        <v>1180</v>
      </c>
      <c r="D141" s="794" t="s">
        <v>1171</v>
      </c>
      <c r="E141" s="794" t="s">
        <v>1116</v>
      </c>
      <c r="F141" s="979"/>
      <c r="G141" s="979"/>
      <c r="H141" s="979"/>
      <c r="I141" s="979"/>
      <c r="J141" s="979"/>
      <c r="K141" s="979"/>
      <c r="L141" s="982">
        <v>-11658.035</v>
      </c>
      <c r="M141" s="439"/>
      <c r="N141" t="e">
        <f>VLOOKUP(A141, 'P&amp;L'!A:B,1,FALSE)</f>
        <v>#N/A</v>
      </c>
      <c r="O141" t="e">
        <f>VLOOKUP(A141, KeyData!A:C,1,FALSE)</f>
        <v>#N/A</v>
      </c>
      <c r="P141" s="439"/>
    </row>
    <row r="142" spans="1:16" x14ac:dyDescent="0.25">
      <c r="A142" s="439" t="str">
        <f t="shared" si="2"/>
        <v>131111100_410</v>
      </c>
      <c r="B142" s="1008" t="s">
        <v>1179</v>
      </c>
      <c r="C142" s="797" t="s">
        <v>1180</v>
      </c>
      <c r="D142" s="794" t="s">
        <v>1172</v>
      </c>
      <c r="E142" s="794" t="s">
        <v>1173</v>
      </c>
      <c r="F142" s="979"/>
      <c r="G142" s="979"/>
      <c r="H142" s="979">
        <v>-11658.035</v>
      </c>
      <c r="I142" s="979"/>
      <c r="J142" s="979"/>
      <c r="K142" s="979">
        <v>-11658.035</v>
      </c>
      <c r="L142" s="982"/>
      <c r="M142" s="439"/>
      <c r="N142" t="e">
        <f>VLOOKUP(A142, 'P&amp;L'!A:B,1,FALSE)</f>
        <v>#N/A</v>
      </c>
      <c r="O142" t="e">
        <f>VLOOKUP(A142, KeyData!A:C,1,FALSE)</f>
        <v>#N/A</v>
      </c>
      <c r="P142" s="439"/>
    </row>
    <row r="143" spans="1:16" x14ac:dyDescent="0.25">
      <c r="A143" s="439" t="str">
        <f t="shared" si="2"/>
        <v>131111100_460</v>
      </c>
      <c r="B143" s="1008" t="s">
        <v>1179</v>
      </c>
      <c r="C143" s="797" t="s">
        <v>1180</v>
      </c>
      <c r="D143" s="794" t="s">
        <v>1176</v>
      </c>
      <c r="E143" s="794" t="s">
        <v>1122</v>
      </c>
      <c r="F143" s="979"/>
      <c r="G143" s="979"/>
      <c r="H143" s="979">
        <v>0</v>
      </c>
      <c r="I143" s="979"/>
      <c r="J143" s="979"/>
      <c r="K143" s="979">
        <v>0</v>
      </c>
      <c r="L143" s="982"/>
      <c r="M143" s="439"/>
      <c r="N143" t="e">
        <f>VLOOKUP(A143, 'P&amp;L'!A:B,1,FALSE)</f>
        <v>#N/A</v>
      </c>
      <c r="O143" t="e">
        <f>VLOOKUP(A143, KeyData!A:C,1,FALSE)</f>
        <v>#N/A</v>
      </c>
      <c r="P143" s="439"/>
    </row>
    <row r="144" spans="1:16" x14ac:dyDescent="0.25">
      <c r="A144" s="439" t="str">
        <f t="shared" si="2"/>
        <v>131111100_Result</v>
      </c>
      <c r="B144" s="1008" t="s">
        <v>1179</v>
      </c>
      <c r="C144" s="797" t="s">
        <v>1180</v>
      </c>
      <c r="D144" s="824" t="s">
        <v>1129</v>
      </c>
      <c r="E144" s="822"/>
      <c r="F144" s="980"/>
      <c r="G144" s="980">
        <v>444838.22200000001</v>
      </c>
      <c r="H144" s="980">
        <v>386462.07</v>
      </c>
      <c r="I144" s="980">
        <v>276355.734</v>
      </c>
      <c r="J144" s="980">
        <v>370786.92700000003</v>
      </c>
      <c r="K144" s="980">
        <v>376213.61</v>
      </c>
      <c r="L144" s="983">
        <v>189978.14499999999</v>
      </c>
      <c r="M144" s="439"/>
      <c r="N144" t="e">
        <f>VLOOKUP(A144, 'P&amp;L'!A:B,1,FALSE)</f>
        <v>#N/A</v>
      </c>
      <c r="O144" t="e">
        <f>VLOOKUP(A144, KeyData!A:C,1,FALSE)</f>
        <v>#N/A</v>
      </c>
      <c r="P144" s="439"/>
    </row>
    <row r="145" spans="1:16" x14ac:dyDescent="0.25">
      <c r="A145" s="439" t="str">
        <f t="shared" si="2"/>
        <v>131116000_300</v>
      </c>
      <c r="B145" s="1006" t="s">
        <v>1181</v>
      </c>
      <c r="C145" s="796" t="s">
        <v>1182</v>
      </c>
      <c r="D145" s="794" t="s">
        <v>1167</v>
      </c>
      <c r="E145" s="794" t="s">
        <v>1116</v>
      </c>
      <c r="F145" s="979"/>
      <c r="G145" s="979"/>
      <c r="H145" s="979"/>
      <c r="I145" s="979">
        <v>37828.303999999996</v>
      </c>
      <c r="J145" s="979"/>
      <c r="K145" s="979"/>
      <c r="L145" s="982">
        <v>127421.875</v>
      </c>
      <c r="M145" s="439"/>
      <c r="N145" t="e">
        <f>VLOOKUP(A145, 'P&amp;L'!A:B,1,FALSE)</f>
        <v>#N/A</v>
      </c>
      <c r="O145" t="e">
        <f>VLOOKUP(A145, KeyData!A:C,1,FALSE)</f>
        <v>#N/A</v>
      </c>
      <c r="P145" s="439"/>
    </row>
    <row r="146" spans="1:16" x14ac:dyDescent="0.25">
      <c r="A146" s="439" t="str">
        <f t="shared" si="2"/>
        <v>131116000_310</v>
      </c>
      <c r="B146" s="1006" t="s">
        <v>1181</v>
      </c>
      <c r="C146" s="796" t="s">
        <v>1182</v>
      </c>
      <c r="D146" s="794" t="s">
        <v>1168</v>
      </c>
      <c r="E146" s="794" t="s">
        <v>1169</v>
      </c>
      <c r="F146" s="979"/>
      <c r="G146" s="979">
        <v>0</v>
      </c>
      <c r="H146" s="979">
        <v>17046.775000000001</v>
      </c>
      <c r="I146" s="979">
        <v>80185.676999999996</v>
      </c>
      <c r="J146" s="979">
        <v>120651.977</v>
      </c>
      <c r="K146" s="979">
        <v>127421.875</v>
      </c>
      <c r="L146" s="982">
        <v>-27701.78</v>
      </c>
      <c r="M146" s="439"/>
      <c r="N146" t="e">
        <f>VLOOKUP(A146, 'P&amp;L'!A:B,1,FALSE)</f>
        <v>#N/A</v>
      </c>
      <c r="O146" t="e">
        <f>VLOOKUP(A146, KeyData!A:C,1,FALSE)</f>
        <v>#N/A</v>
      </c>
      <c r="P146" s="439"/>
    </row>
    <row r="147" spans="1:16" x14ac:dyDescent="0.25">
      <c r="A147" s="439" t="str">
        <f t="shared" si="2"/>
        <v>131116000_360</v>
      </c>
      <c r="B147" s="1006" t="s">
        <v>1181</v>
      </c>
      <c r="C147" s="796" t="s">
        <v>1182</v>
      </c>
      <c r="D147" s="794" t="s">
        <v>1170</v>
      </c>
      <c r="E147" s="794" t="s">
        <v>1122</v>
      </c>
      <c r="F147" s="979"/>
      <c r="G147" s="979">
        <v>0</v>
      </c>
      <c r="H147" s="979">
        <v>0</v>
      </c>
      <c r="I147" s="979"/>
      <c r="J147" s="979">
        <v>0</v>
      </c>
      <c r="K147" s="979">
        <v>0</v>
      </c>
      <c r="L147" s="982"/>
      <c r="M147" s="439"/>
      <c r="N147" t="e">
        <f>VLOOKUP(A147, 'P&amp;L'!A:B,1,FALSE)</f>
        <v>#N/A</v>
      </c>
      <c r="O147" t="e">
        <f>VLOOKUP(A147, KeyData!A:C,1,FALSE)</f>
        <v>#N/A</v>
      </c>
      <c r="P147" s="439"/>
    </row>
    <row r="148" spans="1:16" x14ac:dyDescent="0.25">
      <c r="A148" s="439" t="str">
        <f t="shared" si="2"/>
        <v>131116000_400</v>
      </c>
      <c r="B148" s="1006" t="s">
        <v>1181</v>
      </c>
      <c r="C148" s="796" t="s">
        <v>1182</v>
      </c>
      <c r="D148" s="794" t="s">
        <v>1171</v>
      </c>
      <c r="E148" s="794" t="s">
        <v>1116</v>
      </c>
      <c r="F148" s="979"/>
      <c r="G148" s="979">
        <v>9.1029999999999998</v>
      </c>
      <c r="H148" s="979">
        <v>-0.94499999999999995</v>
      </c>
      <c r="I148" s="979">
        <v>9.1029999999999998</v>
      </c>
      <c r="J148" s="979">
        <v>-0.94499999999999995</v>
      </c>
      <c r="K148" s="979">
        <v>-0.94499999999999995</v>
      </c>
      <c r="L148" s="982">
        <v>-110.045</v>
      </c>
      <c r="M148" s="439"/>
      <c r="N148" t="e">
        <f>VLOOKUP(A148, 'P&amp;L'!A:B,1,FALSE)</f>
        <v>#N/A</v>
      </c>
      <c r="O148" t="e">
        <f>VLOOKUP(A148, KeyData!A:C,1,FALSE)</f>
        <v>#N/A</v>
      </c>
      <c r="P148" s="439"/>
    </row>
    <row r="149" spans="1:16" x14ac:dyDescent="0.25">
      <c r="A149" s="439" t="str">
        <f t="shared" si="2"/>
        <v>131116000_410</v>
      </c>
      <c r="B149" s="1006" t="s">
        <v>1181</v>
      </c>
      <c r="C149" s="796" t="s">
        <v>1182</v>
      </c>
      <c r="D149" s="794" t="s">
        <v>1172</v>
      </c>
      <c r="E149" s="794" t="s">
        <v>1173</v>
      </c>
      <c r="F149" s="979"/>
      <c r="G149" s="979">
        <v>0</v>
      </c>
      <c r="H149" s="979">
        <v>-109.1</v>
      </c>
      <c r="I149" s="979"/>
      <c r="J149" s="979"/>
      <c r="K149" s="979">
        <v>-109.1</v>
      </c>
      <c r="L149" s="982"/>
      <c r="M149" s="439"/>
      <c r="N149" t="e">
        <f>VLOOKUP(A149, 'P&amp;L'!A:B,1,FALSE)</f>
        <v>#N/A</v>
      </c>
      <c r="O149" t="e">
        <f>VLOOKUP(A149, KeyData!A:C,1,FALSE)</f>
        <v>#N/A</v>
      </c>
      <c r="P149" s="439"/>
    </row>
    <row r="150" spans="1:16" x14ac:dyDescent="0.25">
      <c r="A150" s="439" t="str">
        <f t="shared" si="2"/>
        <v>131116000_440</v>
      </c>
      <c r="B150" s="1006" t="s">
        <v>1181</v>
      </c>
      <c r="C150" s="796" t="s">
        <v>1182</v>
      </c>
      <c r="D150" s="794" t="s">
        <v>1174</v>
      </c>
      <c r="E150" s="794" t="s">
        <v>1175</v>
      </c>
      <c r="F150" s="979"/>
      <c r="G150" s="979">
        <v>-9.1029999999999998</v>
      </c>
      <c r="H150" s="979"/>
      <c r="I150" s="979"/>
      <c r="J150" s="979"/>
      <c r="K150" s="979"/>
      <c r="L150" s="982"/>
      <c r="M150" s="439"/>
      <c r="N150" t="e">
        <f>VLOOKUP(A150, 'P&amp;L'!A:B,1,FALSE)</f>
        <v>#N/A</v>
      </c>
      <c r="O150" t="e">
        <f>VLOOKUP(A150, KeyData!A:C,1,FALSE)</f>
        <v>#N/A</v>
      </c>
      <c r="P150" s="439"/>
    </row>
    <row r="151" spans="1:16" x14ac:dyDescent="0.25">
      <c r="A151" s="439" t="str">
        <f t="shared" si="2"/>
        <v>131116000_460</v>
      </c>
      <c r="B151" s="1006" t="s">
        <v>1181</v>
      </c>
      <c r="C151" s="796" t="s">
        <v>1182</v>
      </c>
      <c r="D151" s="794" t="s">
        <v>1176</v>
      </c>
      <c r="E151" s="794" t="s">
        <v>1122</v>
      </c>
      <c r="F151" s="979"/>
      <c r="G151" s="979">
        <v>0</v>
      </c>
      <c r="H151" s="979">
        <v>0</v>
      </c>
      <c r="I151" s="979"/>
      <c r="J151" s="979">
        <v>0</v>
      </c>
      <c r="K151" s="979">
        <v>0</v>
      </c>
      <c r="L151" s="982"/>
      <c r="M151" s="439"/>
      <c r="N151" t="e">
        <f>VLOOKUP(A151, 'P&amp;L'!A:B,1,FALSE)</f>
        <v>#N/A</v>
      </c>
      <c r="O151" t="e">
        <f>VLOOKUP(A151, KeyData!A:C,1,FALSE)</f>
        <v>#N/A</v>
      </c>
      <c r="P151" s="439"/>
    </row>
    <row r="152" spans="1:16" x14ac:dyDescent="0.25">
      <c r="A152" s="439" t="str">
        <f t="shared" si="2"/>
        <v>131116000_Result</v>
      </c>
      <c r="B152" s="1006" t="s">
        <v>1181</v>
      </c>
      <c r="C152" s="796" t="s">
        <v>1182</v>
      </c>
      <c r="D152" s="824" t="s">
        <v>1129</v>
      </c>
      <c r="E152" s="822"/>
      <c r="F152" s="980"/>
      <c r="G152" s="980">
        <v>0</v>
      </c>
      <c r="H152" s="980">
        <v>16936.73</v>
      </c>
      <c r="I152" s="980">
        <v>118023.084</v>
      </c>
      <c r="J152" s="980">
        <v>120651.03200000001</v>
      </c>
      <c r="K152" s="980">
        <v>127311.83</v>
      </c>
      <c r="L152" s="983">
        <v>99610.05</v>
      </c>
      <c r="M152" s="439"/>
      <c r="N152" t="e">
        <f>VLOOKUP(A152, 'P&amp;L'!A:B,1,FALSE)</f>
        <v>#N/A</v>
      </c>
      <c r="O152" t="str">
        <f>VLOOKUP(A152, KeyData!A:C,1,FALSE)</f>
        <v>131116000_Result</v>
      </c>
      <c r="P152" s="439"/>
    </row>
    <row r="153" spans="1:16" x14ac:dyDescent="0.25">
      <c r="A153" s="439" t="str">
        <f t="shared" si="2"/>
        <v>131121000_300</v>
      </c>
      <c r="B153" s="1007" t="s">
        <v>1183</v>
      </c>
      <c r="C153" s="796" t="s">
        <v>1026</v>
      </c>
      <c r="D153" s="794" t="s">
        <v>1167</v>
      </c>
      <c r="E153" s="794" t="s">
        <v>1116</v>
      </c>
      <c r="F153" s="979"/>
      <c r="G153" s="979">
        <v>147242.72099999999</v>
      </c>
      <c r="H153" s="979">
        <v>677062.91799999995</v>
      </c>
      <c r="I153" s="979">
        <v>228024.73300000001</v>
      </c>
      <c r="J153" s="979">
        <v>677062.91799999995</v>
      </c>
      <c r="K153" s="979">
        <v>677062.91799999995</v>
      </c>
      <c r="L153" s="982">
        <v>2925406.9649999999</v>
      </c>
      <c r="M153" s="439"/>
      <c r="N153" t="e">
        <f>VLOOKUP(A153, 'P&amp;L'!A:B,1,FALSE)</f>
        <v>#N/A</v>
      </c>
      <c r="O153" t="e">
        <f>VLOOKUP(A153, KeyData!A:C,1,FALSE)</f>
        <v>#N/A</v>
      </c>
      <c r="P153" s="439"/>
    </row>
    <row r="154" spans="1:16" x14ac:dyDescent="0.25">
      <c r="A154" s="439" t="str">
        <f t="shared" si="2"/>
        <v>131121000_310</v>
      </c>
      <c r="B154" s="1007" t="s">
        <v>1183</v>
      </c>
      <c r="C154" s="796" t="s">
        <v>1026</v>
      </c>
      <c r="D154" s="794" t="s">
        <v>1168</v>
      </c>
      <c r="E154" s="794" t="s">
        <v>1169</v>
      </c>
      <c r="F154" s="979"/>
      <c r="G154" s="979">
        <v>529820.19700000004</v>
      </c>
      <c r="H154" s="979">
        <v>-294999.228</v>
      </c>
      <c r="I154" s="979">
        <v>27653.276000000002</v>
      </c>
      <c r="J154" s="979">
        <v>1933318.2709999999</v>
      </c>
      <c r="K154" s="979">
        <v>2248344.0469999998</v>
      </c>
      <c r="L154" s="982">
        <v>-2002274</v>
      </c>
      <c r="M154" s="439"/>
      <c r="N154" t="e">
        <f>VLOOKUP(A154, 'P&amp;L'!A:B,1,FALSE)</f>
        <v>#N/A</v>
      </c>
      <c r="O154" t="e">
        <f>VLOOKUP(A154, KeyData!A:C,1,FALSE)</f>
        <v>#N/A</v>
      </c>
      <c r="P154" s="439"/>
    </row>
    <row r="155" spans="1:16" x14ac:dyDescent="0.25">
      <c r="A155" s="439" t="str">
        <f t="shared" si="2"/>
        <v>131121000_360</v>
      </c>
      <c r="B155" s="1007" t="s">
        <v>1183</v>
      </c>
      <c r="C155" s="796" t="s">
        <v>1026</v>
      </c>
      <c r="D155" s="794" t="s">
        <v>1170</v>
      </c>
      <c r="E155" s="794" t="s">
        <v>1122</v>
      </c>
      <c r="F155" s="979"/>
      <c r="G155" s="979">
        <v>0</v>
      </c>
      <c r="H155" s="979">
        <v>0</v>
      </c>
      <c r="I155" s="979"/>
      <c r="J155" s="979">
        <v>0</v>
      </c>
      <c r="K155" s="979">
        <v>0</v>
      </c>
      <c r="L155" s="982"/>
      <c r="M155" s="439"/>
      <c r="N155" t="e">
        <f>VLOOKUP(A155, 'P&amp;L'!A:B,1,FALSE)</f>
        <v>#N/A</v>
      </c>
      <c r="O155" t="e">
        <f>VLOOKUP(A155, KeyData!A:C,1,FALSE)</f>
        <v>#N/A</v>
      </c>
      <c r="P155" s="439"/>
    </row>
    <row r="156" spans="1:16" x14ac:dyDescent="0.25">
      <c r="A156" s="439" t="str">
        <f t="shared" si="2"/>
        <v>131121000_400</v>
      </c>
      <c r="B156" s="1007" t="s">
        <v>1183</v>
      </c>
      <c r="C156" s="796" t="s">
        <v>1026</v>
      </c>
      <c r="D156" s="794" t="s">
        <v>1171</v>
      </c>
      <c r="E156" s="794" t="s">
        <v>1116</v>
      </c>
      <c r="F156" s="979"/>
      <c r="G156" s="979"/>
      <c r="H156" s="979">
        <v>-25191.931</v>
      </c>
      <c r="I156" s="979"/>
      <c r="J156" s="979">
        <v>-25191.931</v>
      </c>
      <c r="K156" s="979">
        <v>-25191.931</v>
      </c>
      <c r="L156" s="982">
        <v>-12969.965</v>
      </c>
      <c r="M156" s="439"/>
      <c r="N156" t="e">
        <f>VLOOKUP(A156, 'P&amp;L'!A:B,1,FALSE)</f>
        <v>#N/A</v>
      </c>
      <c r="O156" t="e">
        <f>VLOOKUP(A156, KeyData!A:C,1,FALSE)</f>
        <v>#N/A</v>
      </c>
      <c r="P156" s="439"/>
    </row>
    <row r="157" spans="1:16" x14ac:dyDescent="0.25">
      <c r="A157" s="439" t="str">
        <f t="shared" si="2"/>
        <v>131121000_410</v>
      </c>
      <c r="B157" s="1007" t="s">
        <v>1183</v>
      </c>
      <c r="C157" s="796" t="s">
        <v>1026</v>
      </c>
      <c r="D157" s="794" t="s">
        <v>1172</v>
      </c>
      <c r="E157" s="794" t="s">
        <v>1173</v>
      </c>
      <c r="F157" s="979"/>
      <c r="G157" s="979">
        <v>-25191.931</v>
      </c>
      <c r="H157" s="979">
        <v>12221.966</v>
      </c>
      <c r="I157" s="979"/>
      <c r="J157" s="979"/>
      <c r="K157" s="979">
        <v>12221.966</v>
      </c>
      <c r="L157" s="982"/>
      <c r="M157" s="439"/>
      <c r="N157" t="e">
        <f>VLOOKUP(A157, 'P&amp;L'!A:B,1,FALSE)</f>
        <v>#N/A</v>
      </c>
      <c r="O157" t="e">
        <f>VLOOKUP(A157, KeyData!A:C,1,FALSE)</f>
        <v>#N/A</v>
      </c>
      <c r="P157" s="439"/>
    </row>
    <row r="158" spans="1:16" x14ac:dyDescent="0.25">
      <c r="A158" s="439" t="str">
        <f t="shared" si="2"/>
        <v>131121000_460</v>
      </c>
      <c r="B158" s="1007" t="s">
        <v>1183</v>
      </c>
      <c r="C158" s="796" t="s">
        <v>1026</v>
      </c>
      <c r="D158" s="794" t="s">
        <v>1176</v>
      </c>
      <c r="E158" s="794" t="s">
        <v>1122</v>
      </c>
      <c r="F158" s="979"/>
      <c r="G158" s="979">
        <v>0</v>
      </c>
      <c r="H158" s="979">
        <v>0</v>
      </c>
      <c r="I158" s="979"/>
      <c r="J158" s="979">
        <v>0</v>
      </c>
      <c r="K158" s="979">
        <v>0</v>
      </c>
      <c r="L158" s="982"/>
      <c r="M158" s="439"/>
      <c r="N158" t="e">
        <f>VLOOKUP(A158, 'P&amp;L'!A:B,1,FALSE)</f>
        <v>#N/A</v>
      </c>
      <c r="O158" t="e">
        <f>VLOOKUP(A158, KeyData!A:C,1,FALSE)</f>
        <v>#N/A</v>
      </c>
      <c r="P158" s="439"/>
    </row>
    <row r="159" spans="1:16" x14ac:dyDescent="0.25">
      <c r="A159" s="439" t="str">
        <f t="shared" si="2"/>
        <v>131121000_Result</v>
      </c>
      <c r="B159" s="1007" t="s">
        <v>1183</v>
      </c>
      <c r="C159" s="796" t="s">
        <v>1026</v>
      </c>
      <c r="D159" s="824" t="s">
        <v>1129</v>
      </c>
      <c r="E159" s="822"/>
      <c r="F159" s="980"/>
      <c r="G159" s="980">
        <v>651870.98699999996</v>
      </c>
      <c r="H159" s="980">
        <v>369093.72499999998</v>
      </c>
      <c r="I159" s="980">
        <v>255678.00899999999</v>
      </c>
      <c r="J159" s="980">
        <v>2585189.2579999999</v>
      </c>
      <c r="K159" s="980">
        <v>2912437</v>
      </c>
      <c r="L159" s="983">
        <v>910163</v>
      </c>
      <c r="M159" s="439"/>
      <c r="N159" t="e">
        <f>VLOOKUP(A159, 'P&amp;L'!A:B,1,FALSE)</f>
        <v>#N/A</v>
      </c>
      <c r="O159" t="str">
        <f>VLOOKUP(A159, KeyData!A:C,1,FALSE)</f>
        <v>131121000_Result</v>
      </c>
      <c r="P159" s="439"/>
    </row>
    <row r="160" spans="1:16" x14ac:dyDescent="0.25">
      <c r="A160" s="439" t="str">
        <f t="shared" si="2"/>
        <v>131121100_300</v>
      </c>
      <c r="B160" s="1008" t="s">
        <v>1184</v>
      </c>
      <c r="C160" s="797" t="s">
        <v>1185</v>
      </c>
      <c r="D160" s="794" t="s">
        <v>1167</v>
      </c>
      <c r="E160" s="794" t="s">
        <v>1116</v>
      </c>
      <c r="F160" s="979"/>
      <c r="G160" s="979"/>
      <c r="H160" s="979">
        <v>540715.50100000005</v>
      </c>
      <c r="I160" s="979">
        <v>187048.31</v>
      </c>
      <c r="J160" s="979">
        <v>540715.50100000005</v>
      </c>
      <c r="K160" s="979">
        <v>540715.50100000005</v>
      </c>
      <c r="L160" s="982">
        <v>2801588.7409999999</v>
      </c>
      <c r="M160" s="439"/>
      <c r="N160" t="e">
        <f>VLOOKUP(A160, 'P&amp;L'!A:B,1,FALSE)</f>
        <v>#N/A</v>
      </c>
      <c r="O160" t="e">
        <f>VLOOKUP(A160, KeyData!A:C,1,FALSE)</f>
        <v>#N/A</v>
      </c>
      <c r="P160" s="439"/>
    </row>
    <row r="161" spans="1:16" x14ac:dyDescent="0.25">
      <c r="A161" s="439" t="str">
        <f t="shared" si="2"/>
        <v>131121100_310</v>
      </c>
      <c r="B161" s="1008" t="s">
        <v>1184</v>
      </c>
      <c r="C161" s="797" t="s">
        <v>1185</v>
      </c>
      <c r="D161" s="794" t="s">
        <v>1168</v>
      </c>
      <c r="E161" s="794" t="s">
        <v>1169</v>
      </c>
      <c r="F161" s="979"/>
      <c r="G161" s="979">
        <v>540715.50100000005</v>
      </c>
      <c r="H161" s="979">
        <v>-254323.43</v>
      </c>
      <c r="I161" s="979">
        <v>68629.698999999993</v>
      </c>
      <c r="J161" s="979">
        <v>1943777.338</v>
      </c>
      <c r="K161" s="979">
        <v>2260873.2400000002</v>
      </c>
      <c r="L161" s="982">
        <v>-1878455.7760000001</v>
      </c>
      <c r="M161" s="439"/>
      <c r="N161" t="e">
        <f>VLOOKUP(A161, 'P&amp;L'!A:B,1,FALSE)</f>
        <v>#N/A</v>
      </c>
      <c r="O161" t="e">
        <f>VLOOKUP(A161, KeyData!A:C,1,FALSE)</f>
        <v>#N/A</v>
      </c>
      <c r="P161" s="439"/>
    </row>
    <row r="162" spans="1:16" x14ac:dyDescent="0.25">
      <c r="A162" s="439" t="str">
        <f t="shared" si="2"/>
        <v>131121100_360</v>
      </c>
      <c r="B162" s="1008" t="s">
        <v>1184</v>
      </c>
      <c r="C162" s="797" t="s">
        <v>1185</v>
      </c>
      <c r="D162" s="794" t="s">
        <v>1170</v>
      </c>
      <c r="E162" s="794" t="s">
        <v>1122</v>
      </c>
      <c r="F162" s="979"/>
      <c r="G162" s="979">
        <v>0</v>
      </c>
      <c r="H162" s="979">
        <v>0</v>
      </c>
      <c r="I162" s="979"/>
      <c r="J162" s="979">
        <v>0</v>
      </c>
      <c r="K162" s="979">
        <v>0</v>
      </c>
      <c r="L162" s="982"/>
      <c r="M162" s="439"/>
      <c r="N162" t="e">
        <f>VLOOKUP(A162, 'P&amp;L'!A:B,1,FALSE)</f>
        <v>#N/A</v>
      </c>
      <c r="O162" t="e">
        <f>VLOOKUP(A162, KeyData!A:C,1,FALSE)</f>
        <v>#N/A</v>
      </c>
      <c r="P162" s="439"/>
    </row>
    <row r="163" spans="1:16" x14ac:dyDescent="0.25">
      <c r="A163" s="439" t="str">
        <f t="shared" si="2"/>
        <v>131121100_400</v>
      </c>
      <c r="B163" s="1008" t="s">
        <v>1184</v>
      </c>
      <c r="C163" s="797" t="s">
        <v>1185</v>
      </c>
      <c r="D163" s="794" t="s">
        <v>1171</v>
      </c>
      <c r="E163" s="794" t="s">
        <v>1116</v>
      </c>
      <c r="F163" s="979"/>
      <c r="G163" s="979"/>
      <c r="H163" s="979">
        <v>-23121.805</v>
      </c>
      <c r="I163" s="979"/>
      <c r="J163" s="979">
        <v>-23121.805</v>
      </c>
      <c r="K163" s="979">
        <v>-23121.805</v>
      </c>
      <c r="L163" s="982">
        <v>-12969.965</v>
      </c>
      <c r="M163" s="439"/>
      <c r="N163" t="e">
        <f>VLOOKUP(A163, 'P&amp;L'!A:B,1,FALSE)</f>
        <v>#N/A</v>
      </c>
      <c r="O163" t="e">
        <f>VLOOKUP(A163, KeyData!A:C,1,FALSE)</f>
        <v>#N/A</v>
      </c>
      <c r="P163" s="439"/>
    </row>
    <row r="164" spans="1:16" x14ac:dyDescent="0.25">
      <c r="A164" s="439" t="str">
        <f t="shared" si="2"/>
        <v>131121100_410</v>
      </c>
      <c r="B164" s="1008" t="s">
        <v>1184</v>
      </c>
      <c r="C164" s="797" t="s">
        <v>1185</v>
      </c>
      <c r="D164" s="794" t="s">
        <v>1172</v>
      </c>
      <c r="E164" s="794" t="s">
        <v>1173</v>
      </c>
      <c r="F164" s="979"/>
      <c r="G164" s="979">
        <v>-23121.805</v>
      </c>
      <c r="H164" s="979">
        <v>10151.84</v>
      </c>
      <c r="I164" s="979"/>
      <c r="J164" s="979"/>
      <c r="K164" s="979">
        <v>10151.84</v>
      </c>
      <c r="L164" s="982"/>
      <c r="M164" s="439"/>
      <c r="N164" t="e">
        <f>VLOOKUP(A164, 'P&amp;L'!A:B,1,FALSE)</f>
        <v>#N/A</v>
      </c>
      <c r="O164" t="e">
        <f>VLOOKUP(A164, KeyData!A:C,1,FALSE)</f>
        <v>#N/A</v>
      </c>
      <c r="P164" s="439"/>
    </row>
    <row r="165" spans="1:16" x14ac:dyDescent="0.25">
      <c r="A165" s="439" t="str">
        <f t="shared" si="2"/>
        <v>131121100_460</v>
      </c>
      <c r="B165" s="1008" t="s">
        <v>1184</v>
      </c>
      <c r="C165" s="797" t="s">
        <v>1185</v>
      </c>
      <c r="D165" s="794" t="s">
        <v>1176</v>
      </c>
      <c r="E165" s="794" t="s">
        <v>1122</v>
      </c>
      <c r="F165" s="979"/>
      <c r="G165" s="979">
        <v>0</v>
      </c>
      <c r="H165" s="979">
        <v>0</v>
      </c>
      <c r="I165" s="979"/>
      <c r="J165" s="979">
        <v>0</v>
      </c>
      <c r="K165" s="979">
        <v>0</v>
      </c>
      <c r="L165" s="982"/>
      <c r="M165" s="439"/>
      <c r="N165" t="e">
        <f>VLOOKUP(A165, 'P&amp;L'!A:B,1,FALSE)</f>
        <v>#N/A</v>
      </c>
      <c r="O165" t="e">
        <f>VLOOKUP(A165, KeyData!A:C,1,FALSE)</f>
        <v>#N/A</v>
      </c>
      <c r="P165" s="439"/>
    </row>
    <row r="166" spans="1:16" x14ac:dyDescent="0.25">
      <c r="A166" s="439" t="str">
        <f t="shared" si="2"/>
        <v>131121100_Result</v>
      </c>
      <c r="B166" s="1008" t="s">
        <v>1184</v>
      </c>
      <c r="C166" s="797" t="s">
        <v>1185</v>
      </c>
      <c r="D166" s="824" t="s">
        <v>1129</v>
      </c>
      <c r="E166" s="822"/>
      <c r="F166" s="980"/>
      <c r="G166" s="980">
        <v>517593.696</v>
      </c>
      <c r="H166" s="980">
        <v>273422.10600000003</v>
      </c>
      <c r="I166" s="980">
        <v>255678.00899999999</v>
      </c>
      <c r="J166" s="980">
        <v>2461371.034</v>
      </c>
      <c r="K166" s="980">
        <v>2788618.7760000001</v>
      </c>
      <c r="L166" s="983">
        <v>910163</v>
      </c>
      <c r="M166" s="439"/>
      <c r="N166" t="e">
        <f>VLOOKUP(A166, 'P&amp;L'!A:B,1,FALSE)</f>
        <v>#N/A</v>
      </c>
      <c r="O166" t="e">
        <f>VLOOKUP(A166, KeyData!A:C,1,FALSE)</f>
        <v>#N/A</v>
      </c>
      <c r="P166" s="439"/>
    </row>
    <row r="167" spans="1:16" x14ac:dyDescent="0.25">
      <c r="A167" s="439" t="str">
        <f t="shared" si="2"/>
        <v>131121300_300</v>
      </c>
      <c r="B167" s="1008" t="s">
        <v>1186</v>
      </c>
      <c r="C167" s="797" t="s">
        <v>1187</v>
      </c>
      <c r="D167" s="794" t="s">
        <v>1167</v>
      </c>
      <c r="E167" s="794" t="s">
        <v>1116</v>
      </c>
      <c r="F167" s="979"/>
      <c r="G167" s="979">
        <v>147242.72099999999</v>
      </c>
      <c r="H167" s="979">
        <v>136347.41699999999</v>
      </c>
      <c r="I167" s="979">
        <v>40976.423000000003</v>
      </c>
      <c r="J167" s="979">
        <v>136347.41699999999</v>
      </c>
      <c r="K167" s="979">
        <v>136347.41699999999</v>
      </c>
      <c r="L167" s="982">
        <v>123818.224</v>
      </c>
      <c r="M167" s="439"/>
      <c r="N167" t="e">
        <f>VLOOKUP(A167, 'P&amp;L'!A:B,1,FALSE)</f>
        <v>#N/A</v>
      </c>
      <c r="O167" t="e">
        <f>VLOOKUP(A167, KeyData!A:C,1,FALSE)</f>
        <v>#N/A</v>
      </c>
      <c r="P167" s="439"/>
    </row>
    <row r="168" spans="1:16" x14ac:dyDescent="0.25">
      <c r="A168" s="439" t="str">
        <f t="shared" si="2"/>
        <v>131121300_310</v>
      </c>
      <c r="B168" s="1008" t="s">
        <v>1186</v>
      </c>
      <c r="C168" s="797" t="s">
        <v>1187</v>
      </c>
      <c r="D168" s="794" t="s">
        <v>1168</v>
      </c>
      <c r="E168" s="794" t="s">
        <v>1169</v>
      </c>
      <c r="F168" s="979"/>
      <c r="G168" s="979">
        <v>-10895.304</v>
      </c>
      <c r="H168" s="979">
        <v>-40675.798000000003</v>
      </c>
      <c r="I168" s="979">
        <v>-40976.423000000003</v>
      </c>
      <c r="J168" s="979">
        <v>-10459.066999999999</v>
      </c>
      <c r="K168" s="979">
        <v>-12529.192999999999</v>
      </c>
      <c r="L168" s="982">
        <v>-123818.224</v>
      </c>
      <c r="M168" s="439"/>
      <c r="N168" t="e">
        <f>VLOOKUP(A168, 'P&amp;L'!A:B,1,FALSE)</f>
        <v>#N/A</v>
      </c>
      <c r="O168" t="e">
        <f>VLOOKUP(A168, KeyData!A:C,1,FALSE)</f>
        <v>#N/A</v>
      </c>
      <c r="P168" s="439"/>
    </row>
    <row r="169" spans="1:16" x14ac:dyDescent="0.25">
      <c r="A169" s="439" t="str">
        <f t="shared" si="2"/>
        <v>131121300_360</v>
      </c>
      <c r="B169" s="1008" t="s">
        <v>1186</v>
      </c>
      <c r="C169" s="797" t="s">
        <v>1187</v>
      </c>
      <c r="D169" s="794" t="s">
        <v>1170</v>
      </c>
      <c r="E169" s="794" t="s">
        <v>1122</v>
      </c>
      <c r="F169" s="979"/>
      <c r="G169" s="979">
        <v>0</v>
      </c>
      <c r="H169" s="979">
        <v>0</v>
      </c>
      <c r="I169" s="979"/>
      <c r="J169" s="979">
        <v>0</v>
      </c>
      <c r="K169" s="979">
        <v>0</v>
      </c>
      <c r="L169" s="982"/>
      <c r="M169" s="439"/>
      <c r="N169" t="e">
        <f>VLOOKUP(A169, 'P&amp;L'!A:B,1,FALSE)</f>
        <v>#N/A</v>
      </c>
      <c r="O169" t="e">
        <f>VLOOKUP(A169, KeyData!A:C,1,FALSE)</f>
        <v>#N/A</v>
      </c>
      <c r="P169" s="439"/>
    </row>
    <row r="170" spans="1:16" x14ac:dyDescent="0.25">
      <c r="A170" s="439" t="str">
        <f t="shared" si="2"/>
        <v>131121300_400</v>
      </c>
      <c r="B170" s="1008" t="s">
        <v>1186</v>
      </c>
      <c r="C170" s="797" t="s">
        <v>1187</v>
      </c>
      <c r="D170" s="794" t="s">
        <v>1171</v>
      </c>
      <c r="E170" s="794" t="s">
        <v>1116</v>
      </c>
      <c r="F170" s="979"/>
      <c r="G170" s="979"/>
      <c r="H170" s="979">
        <v>-2070.1260000000002</v>
      </c>
      <c r="I170" s="979"/>
      <c r="J170" s="979">
        <v>-2070.1260000000002</v>
      </c>
      <c r="K170" s="979">
        <v>-2070.1260000000002</v>
      </c>
      <c r="L170" s="982"/>
      <c r="M170" s="439"/>
      <c r="N170" t="e">
        <f>VLOOKUP(A170, 'P&amp;L'!A:B,1,FALSE)</f>
        <v>#N/A</v>
      </c>
      <c r="O170" t="e">
        <f>VLOOKUP(A170, KeyData!A:C,1,FALSE)</f>
        <v>#N/A</v>
      </c>
      <c r="P170" s="439"/>
    </row>
    <row r="171" spans="1:16" x14ac:dyDescent="0.25">
      <c r="A171" s="439" t="str">
        <f t="shared" si="2"/>
        <v>131121300_410</v>
      </c>
      <c r="B171" s="1008" t="s">
        <v>1186</v>
      </c>
      <c r="C171" s="797" t="s">
        <v>1187</v>
      </c>
      <c r="D171" s="794" t="s">
        <v>1172</v>
      </c>
      <c r="E171" s="794" t="s">
        <v>1173</v>
      </c>
      <c r="F171" s="979"/>
      <c r="G171" s="979">
        <v>-2070.1260000000002</v>
      </c>
      <c r="H171" s="979">
        <v>2070.1260000000002</v>
      </c>
      <c r="I171" s="979"/>
      <c r="J171" s="979"/>
      <c r="K171" s="979">
        <v>2070.1260000000002</v>
      </c>
      <c r="L171" s="982"/>
      <c r="M171" s="439"/>
      <c r="N171" t="e">
        <f>VLOOKUP(A171, 'P&amp;L'!A:B,1,FALSE)</f>
        <v>#N/A</v>
      </c>
      <c r="O171" t="e">
        <f>VLOOKUP(A171, KeyData!A:C,1,FALSE)</f>
        <v>#N/A</v>
      </c>
      <c r="P171" s="439"/>
    </row>
    <row r="172" spans="1:16" x14ac:dyDescent="0.25">
      <c r="A172" s="439" t="str">
        <f t="shared" si="2"/>
        <v>131121300_460</v>
      </c>
      <c r="B172" s="1008" t="s">
        <v>1186</v>
      </c>
      <c r="C172" s="797" t="s">
        <v>1187</v>
      </c>
      <c r="D172" s="794" t="s">
        <v>1176</v>
      </c>
      <c r="E172" s="794" t="s">
        <v>1122</v>
      </c>
      <c r="F172" s="979"/>
      <c r="G172" s="979">
        <v>0</v>
      </c>
      <c r="H172" s="979">
        <v>0</v>
      </c>
      <c r="I172" s="979"/>
      <c r="J172" s="979">
        <v>0</v>
      </c>
      <c r="K172" s="979">
        <v>0</v>
      </c>
      <c r="L172" s="982"/>
      <c r="M172" s="439"/>
      <c r="N172" t="e">
        <f>VLOOKUP(A172, 'P&amp;L'!A:B,1,FALSE)</f>
        <v>#N/A</v>
      </c>
      <c r="O172" t="e">
        <f>VLOOKUP(A172, KeyData!A:C,1,FALSE)</f>
        <v>#N/A</v>
      </c>
      <c r="P172" s="439"/>
    </row>
    <row r="173" spans="1:16" x14ac:dyDescent="0.25">
      <c r="A173" s="439" t="str">
        <f t="shared" si="2"/>
        <v>131121300_Result</v>
      </c>
      <c r="B173" s="1008" t="s">
        <v>1186</v>
      </c>
      <c r="C173" s="797" t="s">
        <v>1187</v>
      </c>
      <c r="D173" s="824" t="s">
        <v>1129</v>
      </c>
      <c r="E173" s="822"/>
      <c r="F173" s="980"/>
      <c r="G173" s="980">
        <v>134277.291</v>
      </c>
      <c r="H173" s="980">
        <v>95671.619000000006</v>
      </c>
      <c r="I173" s="980">
        <v>0</v>
      </c>
      <c r="J173" s="980">
        <v>123818.224</v>
      </c>
      <c r="K173" s="980">
        <v>123818.224</v>
      </c>
      <c r="L173" s="983">
        <v>0</v>
      </c>
      <c r="M173" s="439"/>
      <c r="N173" t="e">
        <f>VLOOKUP(A173, 'P&amp;L'!A:B,1,FALSE)</f>
        <v>#N/A</v>
      </c>
      <c r="O173" t="e">
        <f>VLOOKUP(A173, KeyData!A:C,1,FALSE)</f>
        <v>#N/A</v>
      </c>
      <c r="P173" s="439"/>
    </row>
    <row r="174" spans="1:16" x14ac:dyDescent="0.25">
      <c r="A174" s="439" t="str">
        <f t="shared" si="2"/>
        <v>131600000_300</v>
      </c>
      <c r="B174" s="1005" t="s">
        <v>1188</v>
      </c>
      <c r="C174" s="795" t="s">
        <v>1028</v>
      </c>
      <c r="D174" s="794" t="s">
        <v>1167</v>
      </c>
      <c r="E174" s="794" t="s">
        <v>1116</v>
      </c>
      <c r="F174" s="979"/>
      <c r="G174" s="979">
        <v>89282.524999999994</v>
      </c>
      <c r="H174" s="979">
        <v>2460681.588</v>
      </c>
      <c r="I174" s="979">
        <v>3024318.6</v>
      </c>
      <c r="J174" s="979">
        <v>2460681.588</v>
      </c>
      <c r="K174" s="979">
        <v>2460681.588</v>
      </c>
      <c r="L174" s="982">
        <v>3735712.9440000001</v>
      </c>
      <c r="M174" s="439"/>
      <c r="N174" t="e">
        <f>VLOOKUP(A174, 'P&amp;L'!A:B,1,FALSE)</f>
        <v>#N/A</v>
      </c>
      <c r="O174" t="e">
        <f>VLOOKUP(A174, KeyData!A:C,1,FALSE)</f>
        <v>#N/A</v>
      </c>
      <c r="P174" s="439"/>
    </row>
    <row r="175" spans="1:16" x14ac:dyDescent="0.25">
      <c r="A175" s="439" t="str">
        <f t="shared" si="2"/>
        <v>131600000_310</v>
      </c>
      <c r="B175" s="1005" t="s">
        <v>1188</v>
      </c>
      <c r="C175" s="795" t="s">
        <v>1028</v>
      </c>
      <c r="D175" s="794" t="s">
        <v>1168</v>
      </c>
      <c r="E175" s="794" t="s">
        <v>1169</v>
      </c>
      <c r="F175" s="979"/>
      <c r="G175" s="979">
        <v>2371994.8319999999</v>
      </c>
      <c r="H175" s="979">
        <v>-459601.18400000001</v>
      </c>
      <c r="I175" s="979">
        <v>-371131.60600000003</v>
      </c>
      <c r="J175" s="979">
        <v>460331.8</v>
      </c>
      <c r="K175" s="979">
        <v>1275031.3559999999</v>
      </c>
      <c r="L175" s="982">
        <v>-344051.25699999998</v>
      </c>
      <c r="M175" s="439"/>
      <c r="N175" t="e">
        <f>VLOOKUP(A175, 'P&amp;L'!A:B,1,FALSE)</f>
        <v>#N/A</v>
      </c>
      <c r="O175" t="e">
        <f>VLOOKUP(A175, KeyData!A:C,1,FALSE)</f>
        <v>#N/A</v>
      </c>
      <c r="P175" s="439"/>
    </row>
    <row r="176" spans="1:16" x14ac:dyDescent="0.25">
      <c r="A176" s="439" t="str">
        <f t="shared" si="2"/>
        <v>131600000_360</v>
      </c>
      <c r="B176" s="1005" t="s">
        <v>1188</v>
      </c>
      <c r="C176" s="795" t="s">
        <v>1028</v>
      </c>
      <c r="D176" s="794" t="s">
        <v>1170</v>
      </c>
      <c r="E176" s="794" t="s">
        <v>1122</v>
      </c>
      <c r="F176" s="979"/>
      <c r="G176" s="979">
        <v>0</v>
      </c>
      <c r="H176" s="979">
        <v>0</v>
      </c>
      <c r="I176" s="979"/>
      <c r="J176" s="979">
        <v>0</v>
      </c>
      <c r="K176" s="979">
        <v>0</v>
      </c>
      <c r="L176" s="982"/>
      <c r="M176" s="439"/>
      <c r="N176" t="e">
        <f>VLOOKUP(A176, 'P&amp;L'!A:B,1,FALSE)</f>
        <v>#N/A</v>
      </c>
      <c r="O176" t="e">
        <f>VLOOKUP(A176, KeyData!A:C,1,FALSE)</f>
        <v>#N/A</v>
      </c>
      <c r="P176" s="439"/>
    </row>
    <row r="177" spans="1:16" x14ac:dyDescent="0.25">
      <c r="A177" s="439" t="str">
        <f t="shared" si="2"/>
        <v>131600000_400</v>
      </c>
      <c r="B177" s="1005" t="s">
        <v>1188</v>
      </c>
      <c r="C177" s="795" t="s">
        <v>1028</v>
      </c>
      <c r="D177" s="794" t="s">
        <v>1171</v>
      </c>
      <c r="E177" s="794" t="s">
        <v>1116</v>
      </c>
      <c r="F177" s="979"/>
      <c r="G177" s="979">
        <v>-25.882999999999999</v>
      </c>
      <c r="H177" s="979">
        <v>-4933.6310000000003</v>
      </c>
      <c r="I177" s="979">
        <v>-25.882999999999999</v>
      </c>
      <c r="J177" s="979">
        <v>-4933.6310000000003</v>
      </c>
      <c r="K177" s="979">
        <v>-4933.6310000000003</v>
      </c>
      <c r="L177" s="982">
        <v>-5955.5460000000003</v>
      </c>
      <c r="M177" s="439"/>
      <c r="N177" t="e">
        <f>VLOOKUP(A177, 'P&amp;L'!A:B,1,FALSE)</f>
        <v>#N/A</v>
      </c>
      <c r="O177" t="e">
        <f>VLOOKUP(A177, KeyData!A:C,1,FALSE)</f>
        <v>#N/A</v>
      </c>
      <c r="P177" s="439"/>
    </row>
    <row r="178" spans="1:16" x14ac:dyDescent="0.25">
      <c r="A178" s="439" t="str">
        <f t="shared" si="2"/>
        <v>131600000_410</v>
      </c>
      <c r="B178" s="1005" t="s">
        <v>1188</v>
      </c>
      <c r="C178" s="795" t="s">
        <v>1028</v>
      </c>
      <c r="D178" s="794" t="s">
        <v>1172</v>
      </c>
      <c r="E178" s="794" t="s">
        <v>1173</v>
      </c>
      <c r="F178" s="979"/>
      <c r="G178" s="979"/>
      <c r="H178" s="979"/>
      <c r="I178" s="979"/>
      <c r="J178" s="979">
        <v>5.0999999999999997E-2</v>
      </c>
      <c r="K178" s="979">
        <v>5.0999999999999997E-2</v>
      </c>
      <c r="L178" s="982">
        <v>3971.8609999999999</v>
      </c>
      <c r="M178" s="439"/>
      <c r="N178" t="e">
        <f>VLOOKUP(A178, 'P&amp;L'!A:B,1,FALSE)</f>
        <v>#N/A</v>
      </c>
      <c r="O178" t="e">
        <f>VLOOKUP(A178, KeyData!A:C,1,FALSE)</f>
        <v>#N/A</v>
      </c>
      <c r="P178" s="439"/>
    </row>
    <row r="179" spans="1:16" x14ac:dyDescent="0.25">
      <c r="A179" s="439" t="str">
        <f t="shared" si="2"/>
        <v>131600000_430</v>
      </c>
      <c r="B179" s="1005" t="s">
        <v>1188</v>
      </c>
      <c r="C179" s="795" t="s">
        <v>1028</v>
      </c>
      <c r="D179" s="794" t="s">
        <v>1189</v>
      </c>
      <c r="E179" s="794" t="s">
        <v>1190</v>
      </c>
      <c r="F179" s="979"/>
      <c r="G179" s="979">
        <v>-5415.942</v>
      </c>
      <c r="H179" s="979">
        <v>-1469.8710000000001</v>
      </c>
      <c r="I179" s="979"/>
      <c r="J179" s="979">
        <v>-1370.444</v>
      </c>
      <c r="K179" s="979">
        <v>-1370.444</v>
      </c>
      <c r="L179" s="982"/>
      <c r="M179" s="439"/>
      <c r="N179" t="e">
        <f>VLOOKUP(A179, 'P&amp;L'!A:B,1,FALSE)</f>
        <v>#N/A</v>
      </c>
      <c r="O179" t="e">
        <f>VLOOKUP(A179, KeyData!A:C,1,FALSE)</f>
        <v>#N/A</v>
      </c>
      <c r="P179" s="439"/>
    </row>
    <row r="180" spans="1:16" x14ac:dyDescent="0.25">
      <c r="A180" s="439" t="str">
        <f t="shared" si="2"/>
        <v>131600000_435</v>
      </c>
      <c r="B180" s="1005" t="s">
        <v>1188</v>
      </c>
      <c r="C180" s="795" t="s">
        <v>1028</v>
      </c>
      <c r="D180" s="794" t="s">
        <v>1191</v>
      </c>
      <c r="E180" s="794" t="s">
        <v>1192</v>
      </c>
      <c r="F180" s="979"/>
      <c r="G180" s="979">
        <v>48.488</v>
      </c>
      <c r="H180" s="979">
        <v>1635.2529999999999</v>
      </c>
      <c r="I180" s="979"/>
      <c r="J180" s="979">
        <v>348.47800000000001</v>
      </c>
      <c r="K180" s="979">
        <v>348.47800000000001</v>
      </c>
      <c r="L180" s="982"/>
      <c r="M180" s="439"/>
      <c r="N180" t="e">
        <f>VLOOKUP(A180, 'P&amp;L'!A:B,1,FALSE)</f>
        <v>#N/A</v>
      </c>
      <c r="O180" t="e">
        <f>VLOOKUP(A180, KeyData!A:C,1,FALSE)</f>
        <v>#N/A</v>
      </c>
      <c r="P180" s="439"/>
    </row>
    <row r="181" spans="1:16" x14ac:dyDescent="0.25">
      <c r="A181" s="439" t="str">
        <f t="shared" si="2"/>
        <v>131600000_460</v>
      </c>
      <c r="B181" s="1005" t="s">
        <v>1188</v>
      </c>
      <c r="C181" s="795" t="s">
        <v>1028</v>
      </c>
      <c r="D181" s="794" t="s">
        <v>1176</v>
      </c>
      <c r="E181" s="794" t="s">
        <v>1122</v>
      </c>
      <c r="F181" s="979"/>
      <c r="G181" s="979">
        <v>0</v>
      </c>
      <c r="H181" s="979">
        <v>0</v>
      </c>
      <c r="I181" s="979"/>
      <c r="J181" s="979">
        <v>0</v>
      </c>
      <c r="K181" s="979">
        <v>0</v>
      </c>
      <c r="L181" s="982"/>
      <c r="M181" s="439"/>
      <c r="N181" t="e">
        <f>VLOOKUP(A181, 'P&amp;L'!A:B,1,FALSE)</f>
        <v>#N/A</v>
      </c>
      <c r="O181" t="e">
        <f>VLOOKUP(A181, KeyData!A:C,1,FALSE)</f>
        <v>#N/A</v>
      </c>
      <c r="P181" s="439"/>
    </row>
    <row r="182" spans="1:16" x14ac:dyDescent="0.25">
      <c r="A182" s="439" t="str">
        <f t="shared" si="2"/>
        <v>131600000_Result</v>
      </c>
      <c r="B182" s="1005" t="s">
        <v>1188</v>
      </c>
      <c r="C182" s="795" t="s">
        <v>1028</v>
      </c>
      <c r="D182" s="824" t="s">
        <v>1129</v>
      </c>
      <c r="E182" s="822"/>
      <c r="F182" s="980"/>
      <c r="G182" s="980">
        <v>2455884.02</v>
      </c>
      <c r="H182" s="980">
        <v>1996312.155</v>
      </c>
      <c r="I182" s="980">
        <v>2653161.111</v>
      </c>
      <c r="J182" s="980">
        <v>2915057.8420000002</v>
      </c>
      <c r="K182" s="980">
        <v>3729757.398</v>
      </c>
      <c r="L182" s="983">
        <v>3389678.0019999999</v>
      </c>
      <c r="M182" s="439"/>
      <c r="N182" t="e">
        <f>VLOOKUP(A182, 'P&amp;L'!A:B,1,FALSE)</f>
        <v>#N/A</v>
      </c>
      <c r="O182" t="str">
        <f>VLOOKUP(A182, KeyData!A:C,1,FALSE)</f>
        <v>131600000_Result</v>
      </c>
      <c r="P182" s="439"/>
    </row>
    <row r="183" spans="1:16" x14ac:dyDescent="0.25">
      <c r="A183" s="439" t="str">
        <f t="shared" si="2"/>
        <v>131611000_300</v>
      </c>
      <c r="B183" s="1007" t="s">
        <v>1193</v>
      </c>
      <c r="C183" s="796" t="s">
        <v>1194</v>
      </c>
      <c r="D183" s="794" t="s">
        <v>1167</v>
      </c>
      <c r="E183" s="794" t="s">
        <v>1116</v>
      </c>
      <c r="F183" s="979"/>
      <c r="G183" s="979">
        <v>89282.524999999994</v>
      </c>
      <c r="H183" s="979">
        <v>2460681.588</v>
      </c>
      <c r="I183" s="979">
        <v>3024318.6</v>
      </c>
      <c r="J183" s="979">
        <v>2460681.588</v>
      </c>
      <c r="K183" s="979">
        <v>2460681.588</v>
      </c>
      <c r="L183" s="982">
        <v>3735712.9440000001</v>
      </c>
      <c r="M183" s="439"/>
      <c r="N183" t="e">
        <f>VLOOKUP(A183, 'P&amp;L'!A:B,1,FALSE)</f>
        <v>#N/A</v>
      </c>
      <c r="O183" t="e">
        <f>VLOOKUP(A183, KeyData!A:C,1,FALSE)</f>
        <v>#N/A</v>
      </c>
      <c r="P183" s="439"/>
    </row>
    <row r="184" spans="1:16" x14ac:dyDescent="0.25">
      <c r="A184" s="439" t="str">
        <f t="shared" si="2"/>
        <v>131611000_310</v>
      </c>
      <c r="B184" s="1007" t="s">
        <v>1193</v>
      </c>
      <c r="C184" s="796" t="s">
        <v>1194</v>
      </c>
      <c r="D184" s="794" t="s">
        <v>1168</v>
      </c>
      <c r="E184" s="794" t="s">
        <v>1169</v>
      </c>
      <c r="F184" s="979"/>
      <c r="G184" s="979">
        <v>2371994.8319999999</v>
      </c>
      <c r="H184" s="979">
        <v>-459601.18400000001</v>
      </c>
      <c r="I184" s="979">
        <v>-371131.60600000003</v>
      </c>
      <c r="J184" s="979">
        <v>460331.8</v>
      </c>
      <c r="K184" s="979">
        <v>1275031.3559999999</v>
      </c>
      <c r="L184" s="982">
        <v>-344051.25699999998</v>
      </c>
      <c r="M184" s="439"/>
      <c r="N184" t="e">
        <f>VLOOKUP(A184, 'P&amp;L'!A:B,1,FALSE)</f>
        <v>#N/A</v>
      </c>
      <c r="O184" t="e">
        <f>VLOOKUP(A184, KeyData!A:C,1,FALSE)</f>
        <v>#N/A</v>
      </c>
      <c r="P184" s="439"/>
    </row>
    <row r="185" spans="1:16" x14ac:dyDescent="0.25">
      <c r="A185" s="439" t="str">
        <f t="shared" si="2"/>
        <v>131611000_360</v>
      </c>
      <c r="B185" s="1007" t="s">
        <v>1193</v>
      </c>
      <c r="C185" s="796" t="s">
        <v>1194</v>
      </c>
      <c r="D185" s="794" t="s">
        <v>1170</v>
      </c>
      <c r="E185" s="794" t="s">
        <v>1122</v>
      </c>
      <c r="F185" s="979"/>
      <c r="G185" s="979">
        <v>0</v>
      </c>
      <c r="H185" s="979">
        <v>0</v>
      </c>
      <c r="I185" s="979"/>
      <c r="J185" s="979">
        <v>0</v>
      </c>
      <c r="K185" s="979">
        <v>0</v>
      </c>
      <c r="L185" s="982"/>
      <c r="M185" s="439"/>
      <c r="N185" t="e">
        <f>VLOOKUP(A185, 'P&amp;L'!A:B,1,FALSE)</f>
        <v>#N/A</v>
      </c>
      <c r="O185" t="e">
        <f>VLOOKUP(A185, KeyData!A:C,1,FALSE)</f>
        <v>#N/A</v>
      </c>
      <c r="P185" s="439"/>
    </row>
    <row r="186" spans="1:16" x14ac:dyDescent="0.25">
      <c r="A186" s="439" t="str">
        <f t="shared" si="2"/>
        <v>131611000_400</v>
      </c>
      <c r="B186" s="1007" t="s">
        <v>1193</v>
      </c>
      <c r="C186" s="796" t="s">
        <v>1194</v>
      </c>
      <c r="D186" s="794" t="s">
        <v>1171</v>
      </c>
      <c r="E186" s="794" t="s">
        <v>1116</v>
      </c>
      <c r="F186" s="979"/>
      <c r="G186" s="979">
        <v>-25.882999999999999</v>
      </c>
      <c r="H186" s="979">
        <v>-4933.6310000000003</v>
      </c>
      <c r="I186" s="979">
        <v>-25.882999999999999</v>
      </c>
      <c r="J186" s="979">
        <v>-4933.6310000000003</v>
      </c>
      <c r="K186" s="979">
        <v>-4933.6310000000003</v>
      </c>
      <c r="L186" s="982">
        <v>-5955.5460000000003</v>
      </c>
      <c r="M186" s="439"/>
      <c r="N186" t="e">
        <f>VLOOKUP(A186, 'P&amp;L'!A:B,1,FALSE)</f>
        <v>#N/A</v>
      </c>
      <c r="O186" t="e">
        <f>VLOOKUP(A186, KeyData!A:C,1,FALSE)</f>
        <v>#N/A</v>
      </c>
      <c r="P186" s="439"/>
    </row>
    <row r="187" spans="1:16" x14ac:dyDescent="0.25">
      <c r="A187" s="439" t="str">
        <f t="shared" si="2"/>
        <v>131611000_410</v>
      </c>
      <c r="B187" s="1007" t="s">
        <v>1193</v>
      </c>
      <c r="C187" s="796" t="s">
        <v>1194</v>
      </c>
      <c r="D187" s="794" t="s">
        <v>1172</v>
      </c>
      <c r="E187" s="794" t="s">
        <v>1173</v>
      </c>
      <c r="F187" s="979"/>
      <c r="G187" s="979"/>
      <c r="H187" s="979"/>
      <c r="I187" s="979"/>
      <c r="J187" s="979">
        <v>5.0999999999999997E-2</v>
      </c>
      <c r="K187" s="979">
        <v>5.0999999999999997E-2</v>
      </c>
      <c r="L187" s="982">
        <v>3971.8609999999999</v>
      </c>
      <c r="M187" s="439"/>
      <c r="N187" t="e">
        <f>VLOOKUP(A187, 'P&amp;L'!A:B,1,FALSE)</f>
        <v>#N/A</v>
      </c>
      <c r="O187" t="e">
        <f>VLOOKUP(A187, KeyData!A:C,1,FALSE)</f>
        <v>#N/A</v>
      </c>
      <c r="P187" s="439"/>
    </row>
    <row r="188" spans="1:16" x14ac:dyDescent="0.25">
      <c r="A188" s="439" t="str">
        <f t="shared" si="2"/>
        <v>131611000_430</v>
      </c>
      <c r="B188" s="1007" t="s">
        <v>1193</v>
      </c>
      <c r="C188" s="796" t="s">
        <v>1194</v>
      </c>
      <c r="D188" s="794" t="s">
        <v>1189</v>
      </c>
      <c r="E188" s="794" t="s">
        <v>1190</v>
      </c>
      <c r="F188" s="979"/>
      <c r="G188" s="979">
        <v>-5415.942</v>
      </c>
      <c r="H188" s="979">
        <v>-1469.8710000000001</v>
      </c>
      <c r="I188" s="979"/>
      <c r="J188" s="979">
        <v>-1370.444</v>
      </c>
      <c r="K188" s="979">
        <v>-1370.444</v>
      </c>
      <c r="L188" s="982"/>
      <c r="M188" s="439"/>
      <c r="N188" t="e">
        <f>VLOOKUP(A188, 'P&amp;L'!A:B,1,FALSE)</f>
        <v>#N/A</v>
      </c>
      <c r="O188" t="e">
        <f>VLOOKUP(A188, KeyData!A:C,1,FALSE)</f>
        <v>#N/A</v>
      </c>
      <c r="P188" s="439"/>
    </row>
    <row r="189" spans="1:16" x14ac:dyDescent="0.25">
      <c r="A189" s="439" t="str">
        <f t="shared" si="2"/>
        <v>131611000_435</v>
      </c>
      <c r="B189" s="1007" t="s">
        <v>1193</v>
      </c>
      <c r="C189" s="796" t="s">
        <v>1194</v>
      </c>
      <c r="D189" s="794" t="s">
        <v>1191</v>
      </c>
      <c r="E189" s="794" t="s">
        <v>1192</v>
      </c>
      <c r="F189" s="979"/>
      <c r="G189" s="979">
        <v>48.488</v>
      </c>
      <c r="H189" s="979">
        <v>1635.2529999999999</v>
      </c>
      <c r="I189" s="979"/>
      <c r="J189" s="979">
        <v>348.47800000000001</v>
      </c>
      <c r="K189" s="979">
        <v>348.47800000000001</v>
      </c>
      <c r="L189" s="982"/>
      <c r="M189" s="439"/>
      <c r="N189" t="e">
        <f>VLOOKUP(A189, 'P&amp;L'!A:B,1,FALSE)</f>
        <v>#N/A</v>
      </c>
      <c r="O189" t="e">
        <f>VLOOKUP(A189, KeyData!A:C,1,FALSE)</f>
        <v>#N/A</v>
      </c>
      <c r="P189" s="439"/>
    </row>
    <row r="190" spans="1:16" x14ac:dyDescent="0.25">
      <c r="A190" s="439" t="str">
        <f t="shared" si="2"/>
        <v>131611000_460</v>
      </c>
      <c r="B190" s="1007" t="s">
        <v>1193</v>
      </c>
      <c r="C190" s="796" t="s">
        <v>1194</v>
      </c>
      <c r="D190" s="794" t="s">
        <v>1176</v>
      </c>
      <c r="E190" s="794" t="s">
        <v>1122</v>
      </c>
      <c r="F190" s="979"/>
      <c r="G190" s="979">
        <v>0</v>
      </c>
      <c r="H190" s="979">
        <v>0</v>
      </c>
      <c r="I190" s="979"/>
      <c r="J190" s="979">
        <v>0</v>
      </c>
      <c r="K190" s="979">
        <v>0</v>
      </c>
      <c r="L190" s="982"/>
      <c r="M190" s="439"/>
      <c r="N190" t="e">
        <f>VLOOKUP(A190, 'P&amp;L'!A:B,1,FALSE)</f>
        <v>#N/A</v>
      </c>
      <c r="O190" t="e">
        <f>VLOOKUP(A190, KeyData!A:C,1,FALSE)</f>
        <v>#N/A</v>
      </c>
      <c r="P190" s="439"/>
    </row>
    <row r="191" spans="1:16" x14ac:dyDescent="0.25">
      <c r="A191" s="439" t="str">
        <f t="shared" si="2"/>
        <v>131611000_Result</v>
      </c>
      <c r="B191" s="1007" t="s">
        <v>1193</v>
      </c>
      <c r="C191" s="796" t="s">
        <v>1194</v>
      </c>
      <c r="D191" s="824" t="s">
        <v>1129</v>
      </c>
      <c r="E191" s="822"/>
      <c r="F191" s="980"/>
      <c r="G191" s="980">
        <v>2455884.02</v>
      </c>
      <c r="H191" s="980">
        <v>1996312.155</v>
      </c>
      <c r="I191" s="980">
        <v>2653161.111</v>
      </c>
      <c r="J191" s="980">
        <v>2915057.8420000002</v>
      </c>
      <c r="K191" s="980">
        <v>3729757.398</v>
      </c>
      <c r="L191" s="983">
        <v>3389678.0019999999</v>
      </c>
      <c r="M191" s="439"/>
      <c r="N191" t="e">
        <f>VLOOKUP(A191, 'P&amp;L'!A:B,1,FALSE)</f>
        <v>#N/A</v>
      </c>
      <c r="O191" t="e">
        <f>VLOOKUP(A191, KeyData!A:C,1,FALSE)</f>
        <v>#N/A</v>
      </c>
      <c r="P191" s="439"/>
    </row>
    <row r="192" spans="1:16" x14ac:dyDescent="0.25">
      <c r="A192" s="439" t="str">
        <f t="shared" si="2"/>
        <v>131611110_300</v>
      </c>
      <c r="B192" s="1008" t="s">
        <v>1195</v>
      </c>
      <c r="C192" s="797" t="s">
        <v>1194</v>
      </c>
      <c r="D192" s="794" t="s">
        <v>1167</v>
      </c>
      <c r="E192" s="794" t="s">
        <v>1116</v>
      </c>
      <c r="F192" s="979"/>
      <c r="G192" s="979">
        <v>86260.535000000003</v>
      </c>
      <c r="H192" s="979">
        <v>2404300.4339999999</v>
      </c>
      <c r="I192" s="979">
        <v>3024318.6</v>
      </c>
      <c r="J192" s="979">
        <v>2404300.4339999999</v>
      </c>
      <c r="K192" s="979">
        <v>2404300.4339999999</v>
      </c>
      <c r="L192" s="982">
        <v>3728194.3</v>
      </c>
      <c r="M192" s="439"/>
      <c r="N192" t="e">
        <f>VLOOKUP(A192, 'P&amp;L'!A:B,1,FALSE)</f>
        <v>#N/A</v>
      </c>
      <c r="O192" t="e">
        <f>VLOOKUP(A192, KeyData!A:C,1,FALSE)</f>
        <v>#N/A</v>
      </c>
      <c r="P192" s="439"/>
    </row>
    <row r="193" spans="1:16" x14ac:dyDescent="0.25">
      <c r="A193" s="439" t="str">
        <f t="shared" si="2"/>
        <v>131611110_310</v>
      </c>
      <c r="B193" s="1008" t="s">
        <v>1195</v>
      </c>
      <c r="C193" s="797" t="s">
        <v>1194</v>
      </c>
      <c r="D193" s="794" t="s">
        <v>1168</v>
      </c>
      <c r="E193" s="794" t="s">
        <v>1169</v>
      </c>
      <c r="F193" s="979"/>
      <c r="G193" s="979">
        <v>2318038.0449999999</v>
      </c>
      <c r="H193" s="979">
        <v>-413353.49900000001</v>
      </c>
      <c r="I193" s="979">
        <v>-371131.60600000003</v>
      </c>
      <c r="J193" s="979">
        <v>512741.09299999999</v>
      </c>
      <c r="K193" s="979">
        <v>1323893.8659999999</v>
      </c>
      <c r="L193" s="982">
        <v>-336532.62199999997</v>
      </c>
      <c r="M193" s="439"/>
      <c r="N193" t="e">
        <f>VLOOKUP(A193, 'P&amp;L'!A:B,1,FALSE)</f>
        <v>#N/A</v>
      </c>
      <c r="O193" t="e">
        <f>VLOOKUP(A193, KeyData!A:C,1,FALSE)</f>
        <v>#N/A</v>
      </c>
      <c r="P193" s="439"/>
    </row>
    <row r="194" spans="1:16" x14ac:dyDescent="0.25">
      <c r="A194" s="439" t="str">
        <f t="shared" si="2"/>
        <v>131611110_360</v>
      </c>
      <c r="B194" s="1008" t="s">
        <v>1195</v>
      </c>
      <c r="C194" s="797" t="s">
        <v>1194</v>
      </c>
      <c r="D194" s="794" t="s">
        <v>1170</v>
      </c>
      <c r="E194" s="794" t="s">
        <v>1122</v>
      </c>
      <c r="F194" s="979"/>
      <c r="G194" s="979">
        <v>0</v>
      </c>
      <c r="H194" s="979">
        <v>0</v>
      </c>
      <c r="I194" s="979"/>
      <c r="J194" s="979">
        <v>0</v>
      </c>
      <c r="K194" s="979">
        <v>0</v>
      </c>
      <c r="L194" s="982"/>
      <c r="M194" s="439"/>
      <c r="N194" t="e">
        <f>VLOOKUP(A194, 'P&amp;L'!A:B,1,FALSE)</f>
        <v>#N/A</v>
      </c>
      <c r="O194" t="e">
        <f>VLOOKUP(A194, KeyData!A:C,1,FALSE)</f>
        <v>#N/A</v>
      </c>
      <c r="P194" s="439"/>
    </row>
    <row r="195" spans="1:16" x14ac:dyDescent="0.25">
      <c r="A195" s="439" t="str">
        <f t="shared" ref="A195:A258" si="3" xml:space="preserve"> IFERROR(+B195*1,B195)&amp;"_"&amp;IFERROR(+D195*1,D195)</f>
        <v>131611110_400</v>
      </c>
      <c r="B195" s="1008" t="s">
        <v>1195</v>
      </c>
      <c r="C195" s="797" t="s">
        <v>1194</v>
      </c>
      <c r="D195" s="794" t="s">
        <v>1171</v>
      </c>
      <c r="E195" s="794" t="s">
        <v>1116</v>
      </c>
      <c r="F195" s="979"/>
      <c r="G195" s="979">
        <v>-25.882999999999999</v>
      </c>
      <c r="H195" s="979">
        <v>-961.71900000000005</v>
      </c>
      <c r="I195" s="979">
        <v>-25.882999999999999</v>
      </c>
      <c r="J195" s="979">
        <v>-961.71900000000005</v>
      </c>
      <c r="K195" s="979">
        <v>-961.71900000000005</v>
      </c>
      <c r="L195" s="982">
        <v>-1983.6759999999999</v>
      </c>
      <c r="M195" s="439"/>
      <c r="N195" t="e">
        <f>VLOOKUP(A195, 'P&amp;L'!A:B,1,FALSE)</f>
        <v>#N/A</v>
      </c>
      <c r="O195" t="e">
        <f>VLOOKUP(A195, KeyData!A:C,1,FALSE)</f>
        <v>#N/A</v>
      </c>
      <c r="P195" s="439"/>
    </row>
    <row r="196" spans="1:16" x14ac:dyDescent="0.25">
      <c r="A196" s="439" t="str">
        <f t="shared" si="3"/>
        <v>131611110_430</v>
      </c>
      <c r="B196" s="1008" t="s">
        <v>1195</v>
      </c>
      <c r="C196" s="797" t="s">
        <v>1194</v>
      </c>
      <c r="D196" s="794" t="s">
        <v>1189</v>
      </c>
      <c r="E196" s="794" t="s">
        <v>1190</v>
      </c>
      <c r="F196" s="979"/>
      <c r="G196" s="979">
        <v>-983.447</v>
      </c>
      <c r="H196" s="979">
        <v>-1469.6679999999999</v>
      </c>
      <c r="I196" s="979"/>
      <c r="J196" s="979">
        <v>-1370.28</v>
      </c>
      <c r="K196" s="979">
        <v>-1370.28</v>
      </c>
      <c r="L196" s="982"/>
      <c r="M196" s="439"/>
      <c r="N196" t="e">
        <f>VLOOKUP(A196, 'P&amp;L'!A:B,1,FALSE)</f>
        <v>#N/A</v>
      </c>
      <c r="O196" t="e">
        <f>VLOOKUP(A196, KeyData!A:C,1,FALSE)</f>
        <v>#N/A</v>
      </c>
      <c r="P196" s="439"/>
    </row>
    <row r="197" spans="1:16" x14ac:dyDescent="0.25">
      <c r="A197" s="439" t="str">
        <f t="shared" si="3"/>
        <v>131611110_435</v>
      </c>
      <c r="B197" s="1008" t="s">
        <v>1195</v>
      </c>
      <c r="C197" s="797" t="s">
        <v>1194</v>
      </c>
      <c r="D197" s="794" t="s">
        <v>1191</v>
      </c>
      <c r="E197" s="794" t="s">
        <v>1192</v>
      </c>
      <c r="F197" s="979"/>
      <c r="G197" s="979">
        <v>47.610999999999997</v>
      </c>
      <c r="H197" s="979">
        <v>1635.009</v>
      </c>
      <c r="I197" s="979"/>
      <c r="J197" s="979">
        <v>348.32299999999998</v>
      </c>
      <c r="K197" s="979">
        <v>348.32299999999998</v>
      </c>
      <c r="L197" s="982"/>
      <c r="M197" s="439"/>
      <c r="N197" t="e">
        <f>VLOOKUP(A197, 'P&amp;L'!A:B,1,FALSE)</f>
        <v>#N/A</v>
      </c>
      <c r="O197" t="e">
        <f>VLOOKUP(A197, KeyData!A:C,1,FALSE)</f>
        <v>#N/A</v>
      </c>
      <c r="P197" s="439"/>
    </row>
    <row r="198" spans="1:16" x14ac:dyDescent="0.25">
      <c r="A198" s="439" t="str">
        <f t="shared" si="3"/>
        <v>131611110_460</v>
      </c>
      <c r="B198" s="1008" t="s">
        <v>1195</v>
      </c>
      <c r="C198" s="797" t="s">
        <v>1194</v>
      </c>
      <c r="D198" s="794" t="s">
        <v>1176</v>
      </c>
      <c r="E198" s="794" t="s">
        <v>1122</v>
      </c>
      <c r="F198" s="979"/>
      <c r="G198" s="979">
        <v>0</v>
      </c>
      <c r="H198" s="979">
        <v>0</v>
      </c>
      <c r="I198" s="979"/>
      <c r="J198" s="979">
        <v>0</v>
      </c>
      <c r="K198" s="979">
        <v>0</v>
      </c>
      <c r="L198" s="982"/>
      <c r="M198" s="439"/>
      <c r="N198" t="e">
        <f>VLOOKUP(A198, 'P&amp;L'!A:B,1,FALSE)</f>
        <v>#N/A</v>
      </c>
      <c r="O198" t="e">
        <f>VLOOKUP(A198, KeyData!A:C,1,FALSE)</f>
        <v>#N/A</v>
      </c>
      <c r="P198" s="439"/>
    </row>
    <row r="199" spans="1:16" x14ac:dyDescent="0.25">
      <c r="A199" s="439" t="str">
        <f t="shared" si="3"/>
        <v>131611110_Result</v>
      </c>
      <c r="B199" s="1008" t="s">
        <v>1195</v>
      </c>
      <c r="C199" s="797" t="s">
        <v>1194</v>
      </c>
      <c r="D199" s="824" t="s">
        <v>1129</v>
      </c>
      <c r="E199" s="822"/>
      <c r="F199" s="980"/>
      <c r="G199" s="980">
        <v>2403336.861</v>
      </c>
      <c r="H199" s="980">
        <v>1990150.557</v>
      </c>
      <c r="I199" s="980">
        <v>2653161.111</v>
      </c>
      <c r="J199" s="980">
        <v>2915057.8509999998</v>
      </c>
      <c r="K199" s="980">
        <v>3726210.6239999998</v>
      </c>
      <c r="L199" s="983">
        <v>3389678.0019999999</v>
      </c>
      <c r="M199" s="439"/>
      <c r="N199" t="e">
        <f>VLOOKUP(A199, 'P&amp;L'!A:B,1,FALSE)</f>
        <v>#N/A</v>
      </c>
      <c r="O199" t="e">
        <f>VLOOKUP(A199, KeyData!A:C,1,FALSE)</f>
        <v>#N/A</v>
      </c>
      <c r="P199" s="439"/>
    </row>
    <row r="200" spans="1:16" x14ac:dyDescent="0.25">
      <c r="A200" s="439" t="str">
        <f t="shared" si="3"/>
        <v>131611500_300</v>
      </c>
      <c r="B200" s="1008" t="s">
        <v>1196</v>
      </c>
      <c r="C200" s="797" t="s">
        <v>1197</v>
      </c>
      <c r="D200" s="794" t="s">
        <v>1167</v>
      </c>
      <c r="E200" s="794" t="s">
        <v>1116</v>
      </c>
      <c r="F200" s="979"/>
      <c r="G200" s="979">
        <v>1141.595</v>
      </c>
      <c r="H200" s="979">
        <v>982.68299999999999</v>
      </c>
      <c r="I200" s="979"/>
      <c r="J200" s="979">
        <v>982.68299999999999</v>
      </c>
      <c r="K200" s="979">
        <v>982.68299999999999</v>
      </c>
      <c r="L200" s="982">
        <v>8.9999999999999993E-3</v>
      </c>
      <c r="M200" s="439"/>
      <c r="N200" t="e">
        <f>VLOOKUP(A200, 'P&amp;L'!A:B,1,FALSE)</f>
        <v>#N/A</v>
      </c>
      <c r="O200" t="e">
        <f>VLOOKUP(A200, KeyData!A:C,1,FALSE)</f>
        <v>#N/A</v>
      </c>
      <c r="P200" s="439"/>
    </row>
    <row r="201" spans="1:16" x14ac:dyDescent="0.25">
      <c r="A201" s="439" t="str">
        <f t="shared" si="3"/>
        <v>131611500_310</v>
      </c>
      <c r="B201" s="1008" t="s">
        <v>1196</v>
      </c>
      <c r="C201" s="797" t="s">
        <v>1197</v>
      </c>
      <c r="D201" s="794" t="s">
        <v>1168</v>
      </c>
      <c r="E201" s="794" t="s">
        <v>1169</v>
      </c>
      <c r="F201" s="979"/>
      <c r="G201" s="979">
        <v>-158.91200000000001</v>
      </c>
      <c r="H201" s="979">
        <v>-102.575</v>
      </c>
      <c r="I201" s="979"/>
      <c r="J201" s="979">
        <v>-982.68299999999999</v>
      </c>
      <c r="K201" s="979">
        <v>-982.67399999999998</v>
      </c>
      <c r="L201" s="982"/>
      <c r="M201" s="439"/>
      <c r="N201" t="e">
        <f>VLOOKUP(A201, 'P&amp;L'!A:B,1,FALSE)</f>
        <v>#N/A</v>
      </c>
      <c r="O201" t="e">
        <f>VLOOKUP(A201, KeyData!A:C,1,FALSE)</f>
        <v>#N/A</v>
      </c>
      <c r="P201" s="439"/>
    </row>
    <row r="202" spans="1:16" x14ac:dyDescent="0.25">
      <c r="A202" s="439" t="str">
        <f t="shared" si="3"/>
        <v>131611500_360</v>
      </c>
      <c r="B202" s="1008" t="s">
        <v>1196</v>
      </c>
      <c r="C202" s="797" t="s">
        <v>1197</v>
      </c>
      <c r="D202" s="794" t="s">
        <v>1170</v>
      </c>
      <c r="E202" s="794" t="s">
        <v>1122</v>
      </c>
      <c r="F202" s="979"/>
      <c r="G202" s="979">
        <v>0</v>
      </c>
      <c r="H202" s="979">
        <v>0</v>
      </c>
      <c r="I202" s="979"/>
      <c r="J202" s="979">
        <v>0</v>
      </c>
      <c r="K202" s="979">
        <v>0</v>
      </c>
      <c r="L202" s="982"/>
      <c r="M202" s="439"/>
      <c r="N202" t="e">
        <f>VLOOKUP(A202, 'P&amp;L'!A:B,1,FALSE)</f>
        <v>#N/A</v>
      </c>
      <c r="O202" t="e">
        <f>VLOOKUP(A202, KeyData!A:C,1,FALSE)</f>
        <v>#N/A</v>
      </c>
      <c r="P202" s="439"/>
    </row>
    <row r="203" spans="1:16" x14ac:dyDescent="0.25">
      <c r="A203" s="439" t="str">
        <f t="shared" si="3"/>
        <v>131611500_400</v>
      </c>
      <c r="B203" s="1008" t="s">
        <v>1196</v>
      </c>
      <c r="C203" s="797" t="s">
        <v>1197</v>
      </c>
      <c r="D203" s="794" t="s">
        <v>1171</v>
      </c>
      <c r="E203" s="794" t="s">
        <v>1116</v>
      </c>
      <c r="F203" s="979"/>
      <c r="G203" s="979"/>
      <c r="H203" s="979">
        <v>-5.0999999999999997E-2</v>
      </c>
      <c r="I203" s="979"/>
      <c r="J203" s="979">
        <v>-5.0999999999999997E-2</v>
      </c>
      <c r="K203" s="979">
        <v>-5.0999999999999997E-2</v>
      </c>
      <c r="L203" s="982">
        <v>-8.9999999999999993E-3</v>
      </c>
      <c r="M203" s="439"/>
      <c r="N203" t="e">
        <f>VLOOKUP(A203, 'P&amp;L'!A:B,1,FALSE)</f>
        <v>#N/A</v>
      </c>
      <c r="O203" t="e">
        <f>VLOOKUP(A203, KeyData!A:C,1,FALSE)</f>
        <v>#N/A</v>
      </c>
      <c r="P203" s="439"/>
    </row>
    <row r="204" spans="1:16" x14ac:dyDescent="0.25">
      <c r="A204" s="439" t="str">
        <f t="shared" si="3"/>
        <v>131611500_410</v>
      </c>
      <c r="B204" s="1008" t="s">
        <v>1196</v>
      </c>
      <c r="C204" s="797" t="s">
        <v>1197</v>
      </c>
      <c r="D204" s="794" t="s">
        <v>1172</v>
      </c>
      <c r="E204" s="794" t="s">
        <v>1173</v>
      </c>
      <c r="F204" s="979"/>
      <c r="G204" s="979"/>
      <c r="H204" s="979"/>
      <c r="I204" s="979"/>
      <c r="J204" s="979">
        <v>5.0999999999999997E-2</v>
      </c>
      <c r="K204" s="979">
        <v>5.0999999999999997E-2</v>
      </c>
      <c r="L204" s="982"/>
      <c r="M204" s="439"/>
      <c r="N204" t="e">
        <f>VLOOKUP(A204, 'P&amp;L'!A:B,1,FALSE)</f>
        <v>#N/A</v>
      </c>
      <c r="O204" t="e">
        <f>VLOOKUP(A204, KeyData!A:C,1,FALSE)</f>
        <v>#N/A</v>
      </c>
      <c r="P204" s="439"/>
    </row>
    <row r="205" spans="1:16" x14ac:dyDescent="0.25">
      <c r="A205" s="439" t="str">
        <f t="shared" si="3"/>
        <v>131611500_430</v>
      </c>
      <c r="B205" s="1008" t="s">
        <v>1196</v>
      </c>
      <c r="C205" s="797" t="s">
        <v>1197</v>
      </c>
      <c r="D205" s="794" t="s">
        <v>1189</v>
      </c>
      <c r="E205" s="794" t="s">
        <v>1190</v>
      </c>
      <c r="F205" s="979"/>
      <c r="G205" s="979">
        <v>-0.92800000000000005</v>
      </c>
      <c r="H205" s="979">
        <v>-0.20300000000000001</v>
      </c>
      <c r="I205" s="979"/>
      <c r="J205" s="979">
        <v>-0.16400000000000001</v>
      </c>
      <c r="K205" s="979">
        <v>-0.16400000000000001</v>
      </c>
      <c r="L205" s="982"/>
      <c r="M205" s="439"/>
      <c r="N205" t="e">
        <f>VLOOKUP(A205, 'P&amp;L'!A:B,1,FALSE)</f>
        <v>#N/A</v>
      </c>
      <c r="O205" t="e">
        <f>VLOOKUP(A205, KeyData!A:C,1,FALSE)</f>
        <v>#N/A</v>
      </c>
      <c r="P205" s="439"/>
    </row>
    <row r="206" spans="1:16" x14ac:dyDescent="0.25">
      <c r="A206" s="439" t="str">
        <f t="shared" si="3"/>
        <v>131611500_435</v>
      </c>
      <c r="B206" s="1008" t="s">
        <v>1196</v>
      </c>
      <c r="C206" s="797" t="s">
        <v>1197</v>
      </c>
      <c r="D206" s="794" t="s">
        <v>1191</v>
      </c>
      <c r="E206" s="794" t="s">
        <v>1192</v>
      </c>
      <c r="F206" s="979"/>
      <c r="G206" s="979">
        <v>0.877</v>
      </c>
      <c r="H206" s="979">
        <v>0.24399999999999999</v>
      </c>
      <c r="I206" s="979"/>
      <c r="J206" s="979">
        <v>0.155</v>
      </c>
      <c r="K206" s="979">
        <v>0.155</v>
      </c>
      <c r="L206" s="982"/>
      <c r="M206" s="439"/>
      <c r="N206" t="e">
        <f>VLOOKUP(A206, 'P&amp;L'!A:B,1,FALSE)</f>
        <v>#N/A</v>
      </c>
      <c r="O206" t="e">
        <f>VLOOKUP(A206, KeyData!A:C,1,FALSE)</f>
        <v>#N/A</v>
      </c>
      <c r="P206" s="439"/>
    </row>
    <row r="207" spans="1:16" x14ac:dyDescent="0.25">
      <c r="A207" s="439" t="str">
        <f t="shared" si="3"/>
        <v>131611500_460</v>
      </c>
      <c r="B207" s="1008" t="s">
        <v>1196</v>
      </c>
      <c r="C207" s="797" t="s">
        <v>1197</v>
      </c>
      <c r="D207" s="794" t="s">
        <v>1176</v>
      </c>
      <c r="E207" s="794" t="s">
        <v>1122</v>
      </c>
      <c r="F207" s="979"/>
      <c r="G207" s="979">
        <v>0</v>
      </c>
      <c r="H207" s="979">
        <v>0</v>
      </c>
      <c r="I207" s="979"/>
      <c r="J207" s="979">
        <v>0</v>
      </c>
      <c r="K207" s="979">
        <v>0</v>
      </c>
      <c r="L207" s="982"/>
      <c r="M207" s="439"/>
      <c r="N207" t="e">
        <f>VLOOKUP(A207, 'P&amp;L'!A:B,1,FALSE)</f>
        <v>#N/A</v>
      </c>
      <c r="O207" t="e">
        <f>VLOOKUP(A207, KeyData!A:C,1,FALSE)</f>
        <v>#N/A</v>
      </c>
      <c r="P207" s="439"/>
    </row>
    <row r="208" spans="1:16" x14ac:dyDescent="0.25">
      <c r="A208" s="439" t="str">
        <f t="shared" si="3"/>
        <v>131611500_Result</v>
      </c>
      <c r="B208" s="1008" t="s">
        <v>1196</v>
      </c>
      <c r="C208" s="797" t="s">
        <v>1197</v>
      </c>
      <c r="D208" s="824" t="s">
        <v>1129</v>
      </c>
      <c r="E208" s="822"/>
      <c r="F208" s="980"/>
      <c r="G208" s="980">
        <v>982.63199999999995</v>
      </c>
      <c r="H208" s="980">
        <v>880.09799999999996</v>
      </c>
      <c r="I208" s="980"/>
      <c r="J208" s="980">
        <v>-8.9999999999999993E-3</v>
      </c>
      <c r="K208" s="980">
        <v>0</v>
      </c>
      <c r="L208" s="983">
        <v>0</v>
      </c>
      <c r="M208" s="439"/>
      <c r="N208" t="e">
        <f>VLOOKUP(A208, 'P&amp;L'!A:B,1,FALSE)</f>
        <v>#N/A</v>
      </c>
      <c r="O208" t="e">
        <f>VLOOKUP(A208, KeyData!A:C,1,FALSE)</f>
        <v>#N/A</v>
      </c>
      <c r="P208" s="439"/>
    </row>
    <row r="209" spans="1:16" x14ac:dyDescent="0.25">
      <c r="A209" s="439" t="str">
        <f t="shared" si="3"/>
        <v>131611900_300</v>
      </c>
      <c r="B209" s="1008" t="s">
        <v>1198</v>
      </c>
      <c r="C209" s="797" t="s">
        <v>1199</v>
      </c>
      <c r="D209" s="794" t="s">
        <v>1167</v>
      </c>
      <c r="E209" s="794" t="s">
        <v>1116</v>
      </c>
      <c r="F209" s="979"/>
      <c r="G209" s="979">
        <v>1880.395</v>
      </c>
      <c r="H209" s="979">
        <v>55398.470999999998</v>
      </c>
      <c r="I209" s="979"/>
      <c r="J209" s="979">
        <v>55398.470999999998</v>
      </c>
      <c r="K209" s="979">
        <v>55398.470999999998</v>
      </c>
      <c r="L209" s="982">
        <v>7518.6350000000002</v>
      </c>
      <c r="M209" s="439"/>
      <c r="N209" t="e">
        <f>VLOOKUP(A209, 'P&amp;L'!A:B,1,FALSE)</f>
        <v>#N/A</v>
      </c>
      <c r="O209" t="e">
        <f>VLOOKUP(A209, KeyData!A:C,1,FALSE)</f>
        <v>#N/A</v>
      </c>
      <c r="P209" s="439"/>
    </row>
    <row r="210" spans="1:16" x14ac:dyDescent="0.25">
      <c r="A210" s="439" t="str">
        <f t="shared" si="3"/>
        <v>131611900_310</v>
      </c>
      <c r="B210" s="1008" t="s">
        <v>1198</v>
      </c>
      <c r="C210" s="797" t="s">
        <v>1199</v>
      </c>
      <c r="D210" s="794" t="s">
        <v>1168</v>
      </c>
      <c r="E210" s="794" t="s">
        <v>1169</v>
      </c>
      <c r="F210" s="979"/>
      <c r="G210" s="979">
        <v>54115.699000000001</v>
      </c>
      <c r="H210" s="979">
        <v>-46145.11</v>
      </c>
      <c r="I210" s="979"/>
      <c r="J210" s="979">
        <v>-51426.61</v>
      </c>
      <c r="K210" s="979">
        <v>-47879.836000000003</v>
      </c>
      <c r="L210" s="982">
        <v>-7518.6350000000002</v>
      </c>
      <c r="M210" s="439"/>
      <c r="N210" t="e">
        <f>VLOOKUP(A210, 'P&amp;L'!A:B,1,FALSE)</f>
        <v>#N/A</v>
      </c>
      <c r="O210" t="e">
        <f>VLOOKUP(A210, KeyData!A:C,1,FALSE)</f>
        <v>#N/A</v>
      </c>
      <c r="P210" s="439"/>
    </row>
    <row r="211" spans="1:16" x14ac:dyDescent="0.25">
      <c r="A211" s="439" t="str">
        <f t="shared" si="3"/>
        <v>131611900_360</v>
      </c>
      <c r="B211" s="1008" t="s">
        <v>1198</v>
      </c>
      <c r="C211" s="797" t="s">
        <v>1199</v>
      </c>
      <c r="D211" s="794" t="s">
        <v>1170</v>
      </c>
      <c r="E211" s="794" t="s">
        <v>1122</v>
      </c>
      <c r="F211" s="979"/>
      <c r="G211" s="979">
        <v>0</v>
      </c>
      <c r="H211" s="979">
        <v>0</v>
      </c>
      <c r="I211" s="979"/>
      <c r="J211" s="979">
        <v>0</v>
      </c>
      <c r="K211" s="979">
        <v>0</v>
      </c>
      <c r="L211" s="982"/>
      <c r="M211" s="439"/>
      <c r="N211" t="e">
        <f>VLOOKUP(A211, 'P&amp;L'!A:B,1,FALSE)</f>
        <v>#N/A</v>
      </c>
      <c r="O211" t="e">
        <f>VLOOKUP(A211, KeyData!A:C,1,FALSE)</f>
        <v>#N/A</v>
      </c>
      <c r="P211" s="439"/>
    </row>
    <row r="212" spans="1:16" x14ac:dyDescent="0.25">
      <c r="A212" s="439" t="str">
        <f t="shared" si="3"/>
        <v>131611900_400</v>
      </c>
      <c r="B212" s="1008" t="s">
        <v>1198</v>
      </c>
      <c r="C212" s="797" t="s">
        <v>1199</v>
      </c>
      <c r="D212" s="794" t="s">
        <v>1171</v>
      </c>
      <c r="E212" s="794" t="s">
        <v>1116</v>
      </c>
      <c r="F212" s="979"/>
      <c r="G212" s="979"/>
      <c r="H212" s="979">
        <v>-3971.8609999999999</v>
      </c>
      <c r="I212" s="979"/>
      <c r="J212" s="979">
        <v>-3971.8609999999999</v>
      </c>
      <c r="K212" s="979">
        <v>-3971.8609999999999</v>
      </c>
      <c r="L212" s="982">
        <v>-3971.8609999999999</v>
      </c>
      <c r="M212" s="439"/>
      <c r="N212" t="e">
        <f>VLOOKUP(A212, 'P&amp;L'!A:B,1,FALSE)</f>
        <v>#N/A</v>
      </c>
      <c r="O212" t="e">
        <f>VLOOKUP(A212, KeyData!A:C,1,FALSE)</f>
        <v>#N/A</v>
      </c>
      <c r="P212" s="439"/>
    </row>
    <row r="213" spans="1:16" x14ac:dyDescent="0.25">
      <c r="A213" s="439" t="str">
        <f t="shared" si="3"/>
        <v>131611900_410</v>
      </c>
      <c r="B213" s="1008" t="s">
        <v>1198</v>
      </c>
      <c r="C213" s="797" t="s">
        <v>1199</v>
      </c>
      <c r="D213" s="794" t="s">
        <v>1172</v>
      </c>
      <c r="E213" s="794" t="s">
        <v>1173</v>
      </c>
      <c r="F213" s="979"/>
      <c r="G213" s="979"/>
      <c r="H213" s="979"/>
      <c r="I213" s="979"/>
      <c r="J213" s="979"/>
      <c r="K213" s="979"/>
      <c r="L213" s="982">
        <v>3971.8609999999999</v>
      </c>
      <c r="M213" s="439"/>
      <c r="N213" t="e">
        <f>VLOOKUP(A213, 'P&amp;L'!A:B,1,FALSE)</f>
        <v>#N/A</v>
      </c>
      <c r="O213" t="e">
        <f>VLOOKUP(A213, KeyData!A:C,1,FALSE)</f>
        <v>#N/A</v>
      </c>
      <c r="P213" s="439"/>
    </row>
    <row r="214" spans="1:16" x14ac:dyDescent="0.25">
      <c r="A214" s="439" t="str">
        <f t="shared" si="3"/>
        <v>131611900_430</v>
      </c>
      <c r="B214" s="1008" t="s">
        <v>1198</v>
      </c>
      <c r="C214" s="797" t="s">
        <v>1199</v>
      </c>
      <c r="D214" s="794" t="s">
        <v>1189</v>
      </c>
      <c r="E214" s="794" t="s">
        <v>1190</v>
      </c>
      <c r="F214" s="979"/>
      <c r="G214" s="979">
        <v>-4431.567</v>
      </c>
      <c r="H214" s="979"/>
      <c r="I214" s="979"/>
      <c r="J214" s="979"/>
      <c r="K214" s="979"/>
      <c r="L214" s="982"/>
      <c r="M214" s="439"/>
      <c r="N214" t="e">
        <f>VLOOKUP(A214, 'P&amp;L'!A:B,1,FALSE)</f>
        <v>#N/A</v>
      </c>
      <c r="O214" t="e">
        <f>VLOOKUP(A214, KeyData!A:C,1,FALSE)</f>
        <v>#N/A</v>
      </c>
      <c r="P214" s="439"/>
    </row>
    <row r="215" spans="1:16" x14ac:dyDescent="0.25">
      <c r="A215" s="439" t="str">
        <f t="shared" si="3"/>
        <v>131611900_460</v>
      </c>
      <c r="B215" s="1008" t="s">
        <v>1198</v>
      </c>
      <c r="C215" s="797" t="s">
        <v>1199</v>
      </c>
      <c r="D215" s="794" t="s">
        <v>1176</v>
      </c>
      <c r="E215" s="794" t="s">
        <v>1122</v>
      </c>
      <c r="F215" s="979"/>
      <c r="G215" s="979">
        <v>0</v>
      </c>
      <c r="H215" s="979">
        <v>0</v>
      </c>
      <c r="I215" s="979"/>
      <c r="J215" s="979">
        <v>0</v>
      </c>
      <c r="K215" s="979">
        <v>0</v>
      </c>
      <c r="L215" s="982"/>
      <c r="M215" s="439"/>
      <c r="N215" t="e">
        <f>VLOOKUP(A215, 'P&amp;L'!A:B,1,FALSE)</f>
        <v>#N/A</v>
      </c>
      <c r="O215" t="e">
        <f>VLOOKUP(A215, KeyData!A:C,1,FALSE)</f>
        <v>#N/A</v>
      </c>
      <c r="P215" s="439"/>
    </row>
    <row r="216" spans="1:16" x14ac:dyDescent="0.25">
      <c r="A216" s="439" t="str">
        <f t="shared" si="3"/>
        <v>131611900_Result</v>
      </c>
      <c r="B216" s="1008" t="s">
        <v>1198</v>
      </c>
      <c r="C216" s="797" t="s">
        <v>1199</v>
      </c>
      <c r="D216" s="824" t="s">
        <v>1129</v>
      </c>
      <c r="E216" s="822"/>
      <c r="F216" s="980"/>
      <c r="G216" s="980">
        <v>51564.527000000002</v>
      </c>
      <c r="H216" s="980">
        <v>5281.5</v>
      </c>
      <c r="I216" s="980"/>
      <c r="J216" s="980">
        <v>0</v>
      </c>
      <c r="K216" s="980">
        <v>3546.7739999999999</v>
      </c>
      <c r="L216" s="983">
        <v>0</v>
      </c>
      <c r="M216" s="439"/>
      <c r="N216" t="e">
        <f>VLOOKUP(A216, 'P&amp;L'!A:B,1,FALSE)</f>
        <v>#N/A</v>
      </c>
      <c r="O216" t="e">
        <f>VLOOKUP(A216, KeyData!A:C,1,FALSE)</f>
        <v>#N/A</v>
      </c>
      <c r="P216" s="439"/>
    </row>
    <row r="217" spans="1:16" x14ac:dyDescent="0.25">
      <c r="A217" s="439" t="str">
        <f t="shared" si="3"/>
        <v>231100000_700</v>
      </c>
      <c r="B217" s="1005" t="s">
        <v>1200</v>
      </c>
      <c r="C217" s="795" t="s">
        <v>1201</v>
      </c>
      <c r="D217" s="794" t="s">
        <v>1202</v>
      </c>
      <c r="E217" s="794" t="s">
        <v>1116</v>
      </c>
      <c r="F217" s="979"/>
      <c r="G217" s="979">
        <v>345348.60399999999</v>
      </c>
      <c r="H217" s="979">
        <v>2649357.6740000001</v>
      </c>
      <c r="I217" s="979">
        <v>1009200.708</v>
      </c>
      <c r="J217" s="979">
        <v>2649357.6740000001</v>
      </c>
      <c r="K217" s="979">
        <v>2649357.6740000001</v>
      </c>
      <c r="L217" s="982">
        <v>1797179.662</v>
      </c>
      <c r="M217" s="439"/>
      <c r="N217" t="e">
        <f>VLOOKUP(A217, 'P&amp;L'!A:B,1,FALSE)</f>
        <v>#N/A</v>
      </c>
      <c r="O217" t="e">
        <f>VLOOKUP(A217, KeyData!A:C,1,FALSE)</f>
        <v>#N/A</v>
      </c>
      <c r="P217" s="439"/>
    </row>
    <row r="218" spans="1:16" x14ac:dyDescent="0.25">
      <c r="A218" s="439" t="str">
        <f t="shared" si="3"/>
        <v>231100000_710</v>
      </c>
      <c r="B218" s="1005" t="s">
        <v>1200</v>
      </c>
      <c r="C218" s="795" t="s">
        <v>1201</v>
      </c>
      <c r="D218" s="794" t="s">
        <v>1203</v>
      </c>
      <c r="E218" s="794" t="s">
        <v>1169</v>
      </c>
      <c r="F218" s="979"/>
      <c r="G218" s="979">
        <v>2333849.2220000001</v>
      </c>
      <c r="H218" s="979">
        <v>167504.30600000001</v>
      </c>
      <c r="I218" s="979">
        <v>629041.73499999999</v>
      </c>
      <c r="J218" s="979">
        <v>-1103995.6910000001</v>
      </c>
      <c r="K218" s="979">
        <v>-872435.33</v>
      </c>
      <c r="L218" s="982">
        <v>782745.152</v>
      </c>
      <c r="M218" s="439"/>
      <c r="N218" t="e">
        <f>VLOOKUP(A218, 'P&amp;L'!A:B,1,FALSE)</f>
        <v>#N/A</v>
      </c>
      <c r="O218" t="e">
        <f>VLOOKUP(A218, KeyData!A:C,1,FALSE)</f>
        <v>#N/A</v>
      </c>
      <c r="P218" s="439"/>
    </row>
    <row r="219" spans="1:16" x14ac:dyDescent="0.25">
      <c r="A219" s="439" t="str">
        <f t="shared" si="3"/>
        <v>231100000_740</v>
      </c>
      <c r="B219" s="1005" t="s">
        <v>1200</v>
      </c>
      <c r="C219" s="795" t="s">
        <v>1201</v>
      </c>
      <c r="D219" s="794" t="s">
        <v>1204</v>
      </c>
      <c r="E219" s="794" t="s">
        <v>1141</v>
      </c>
      <c r="F219" s="979"/>
      <c r="G219" s="979">
        <v>831.15200000000004</v>
      </c>
      <c r="H219" s="979">
        <v>20257.317999999999</v>
      </c>
      <c r="I219" s="979"/>
      <c r="J219" s="979">
        <v>20257.317999999999</v>
      </c>
      <c r="K219" s="979">
        <v>20257.317999999999</v>
      </c>
      <c r="L219" s="982"/>
      <c r="M219" s="439"/>
      <c r="N219" t="e">
        <f>VLOOKUP(A219, 'P&amp;L'!A:B,1,FALSE)</f>
        <v>#N/A</v>
      </c>
      <c r="O219" t="e">
        <f>VLOOKUP(A219, KeyData!A:C,1,FALSE)</f>
        <v>#N/A</v>
      </c>
      <c r="P219" s="439"/>
    </row>
    <row r="220" spans="1:16" x14ac:dyDescent="0.25">
      <c r="A220" s="439" t="str">
        <f t="shared" si="3"/>
        <v>231100000_760</v>
      </c>
      <c r="B220" s="1005" t="s">
        <v>1200</v>
      </c>
      <c r="C220" s="795" t="s">
        <v>1201</v>
      </c>
      <c r="D220" s="794" t="s">
        <v>1205</v>
      </c>
      <c r="E220" s="794" t="s">
        <v>1122</v>
      </c>
      <c r="F220" s="979"/>
      <c r="G220" s="979">
        <v>0</v>
      </c>
      <c r="H220" s="979">
        <v>0</v>
      </c>
      <c r="I220" s="979"/>
      <c r="J220" s="979">
        <v>0</v>
      </c>
      <c r="K220" s="979">
        <v>0</v>
      </c>
      <c r="L220" s="982"/>
      <c r="M220" s="439"/>
      <c r="N220" t="e">
        <f>VLOOKUP(A220, 'P&amp;L'!A:B,1,FALSE)</f>
        <v>#N/A</v>
      </c>
      <c r="O220" t="e">
        <f>VLOOKUP(A220, KeyData!A:C,1,FALSE)</f>
        <v>#N/A</v>
      </c>
      <c r="P220" s="439"/>
    </row>
    <row r="221" spans="1:16" x14ac:dyDescent="0.25">
      <c r="A221" s="439" t="str">
        <f t="shared" si="3"/>
        <v>231100000_Result</v>
      </c>
      <c r="B221" s="1005" t="s">
        <v>1200</v>
      </c>
      <c r="C221" s="795" t="s">
        <v>1201</v>
      </c>
      <c r="D221" s="824" t="s">
        <v>1129</v>
      </c>
      <c r="E221" s="822"/>
      <c r="F221" s="980"/>
      <c r="G221" s="980">
        <v>2680028.9780000001</v>
      </c>
      <c r="H221" s="980">
        <v>2837119.298</v>
      </c>
      <c r="I221" s="980">
        <v>1638242.443</v>
      </c>
      <c r="J221" s="980">
        <v>1565619.301</v>
      </c>
      <c r="K221" s="980">
        <v>1797179.662</v>
      </c>
      <c r="L221" s="983">
        <v>2579924.8139999998</v>
      </c>
      <c r="M221" s="439"/>
      <c r="N221" t="e">
        <f>VLOOKUP(A221, 'P&amp;L'!A:B,1,FALSE)</f>
        <v>#N/A</v>
      </c>
      <c r="O221" t="str">
        <f>VLOOKUP(A221, KeyData!A:C,1,FALSE)</f>
        <v>231100000_Result</v>
      </c>
      <c r="P221" s="439"/>
    </row>
    <row r="222" spans="1:16" x14ac:dyDescent="0.25">
      <c r="A222" s="439" t="str">
        <f t="shared" si="3"/>
        <v>231111000_700</v>
      </c>
      <c r="B222" s="1006" t="s">
        <v>1206</v>
      </c>
      <c r="C222" s="796" t="s">
        <v>1207</v>
      </c>
      <c r="D222" s="794" t="s">
        <v>1202</v>
      </c>
      <c r="E222" s="794" t="s">
        <v>1116</v>
      </c>
      <c r="F222" s="979"/>
      <c r="G222" s="979">
        <v>89572.599000000002</v>
      </c>
      <c r="H222" s="979">
        <v>1852121.1089999999</v>
      </c>
      <c r="I222" s="979">
        <v>922783.60800000001</v>
      </c>
      <c r="J222" s="979">
        <v>1852121.1089999999</v>
      </c>
      <c r="K222" s="979">
        <v>1852121.1089999999</v>
      </c>
      <c r="L222" s="982">
        <v>1727862.8030000001</v>
      </c>
      <c r="M222" s="439"/>
      <c r="N222" t="e">
        <f>VLOOKUP(A222, 'P&amp;L'!A:B,1,FALSE)</f>
        <v>#N/A</v>
      </c>
      <c r="O222" t="e">
        <f>VLOOKUP(A222, KeyData!A:C,1,FALSE)</f>
        <v>#N/A</v>
      </c>
      <c r="P222" s="439"/>
    </row>
    <row r="223" spans="1:16" x14ac:dyDescent="0.25">
      <c r="A223" s="439" t="str">
        <f t="shared" si="3"/>
        <v>231111000_710</v>
      </c>
      <c r="B223" s="1006" t="s">
        <v>1206</v>
      </c>
      <c r="C223" s="796" t="s">
        <v>1207</v>
      </c>
      <c r="D223" s="794" t="s">
        <v>1203</v>
      </c>
      <c r="E223" s="794" t="s">
        <v>1169</v>
      </c>
      <c r="F223" s="979"/>
      <c r="G223" s="979">
        <v>1763405.206</v>
      </c>
      <c r="H223" s="979">
        <v>312938.53399999999</v>
      </c>
      <c r="I223" s="979">
        <v>712802.03500000003</v>
      </c>
      <c r="J223" s="979">
        <v>-876436.96200000006</v>
      </c>
      <c r="K223" s="979">
        <v>-124258.306</v>
      </c>
      <c r="L223" s="982">
        <v>788078.38</v>
      </c>
      <c r="M223" s="439"/>
      <c r="N223" t="e">
        <f>VLOOKUP(A223, 'P&amp;L'!A:B,1,FALSE)</f>
        <v>#N/A</v>
      </c>
      <c r="O223" t="e">
        <f>VLOOKUP(A223, KeyData!A:C,1,FALSE)</f>
        <v>#N/A</v>
      </c>
      <c r="P223" s="439"/>
    </row>
    <row r="224" spans="1:16" x14ac:dyDescent="0.25">
      <c r="A224" s="439" t="str">
        <f t="shared" si="3"/>
        <v>231111000_760</v>
      </c>
      <c r="B224" s="1006" t="s">
        <v>1206</v>
      </c>
      <c r="C224" s="796" t="s">
        <v>1207</v>
      </c>
      <c r="D224" s="794" t="s">
        <v>1205</v>
      </c>
      <c r="E224" s="794" t="s">
        <v>1122</v>
      </c>
      <c r="F224" s="979"/>
      <c r="G224" s="979">
        <v>0</v>
      </c>
      <c r="H224" s="979">
        <v>0</v>
      </c>
      <c r="I224" s="979"/>
      <c r="J224" s="979">
        <v>0</v>
      </c>
      <c r="K224" s="979">
        <v>0</v>
      </c>
      <c r="L224" s="982"/>
      <c r="M224" s="439"/>
      <c r="N224" t="e">
        <f>VLOOKUP(A224, 'P&amp;L'!A:B,1,FALSE)</f>
        <v>#N/A</v>
      </c>
      <c r="O224" t="e">
        <f>VLOOKUP(A224, KeyData!A:C,1,FALSE)</f>
        <v>#N/A</v>
      </c>
      <c r="P224" s="439"/>
    </row>
    <row r="225" spans="1:16" x14ac:dyDescent="0.25">
      <c r="A225" s="439" t="str">
        <f t="shared" si="3"/>
        <v>231111000_Result</v>
      </c>
      <c r="B225" s="1006" t="s">
        <v>1206</v>
      </c>
      <c r="C225" s="796" t="s">
        <v>1207</v>
      </c>
      <c r="D225" s="824" t="s">
        <v>1129</v>
      </c>
      <c r="E225" s="822"/>
      <c r="F225" s="980"/>
      <c r="G225" s="980">
        <v>1852977.8049999999</v>
      </c>
      <c r="H225" s="980">
        <v>2165059.6430000002</v>
      </c>
      <c r="I225" s="980">
        <v>1635585.6429999999</v>
      </c>
      <c r="J225" s="980">
        <v>975684.147</v>
      </c>
      <c r="K225" s="980">
        <v>1727862.8030000001</v>
      </c>
      <c r="L225" s="983">
        <v>2515941.1830000002</v>
      </c>
      <c r="M225" s="439"/>
      <c r="N225" t="e">
        <f>VLOOKUP(A225, 'P&amp;L'!A:B,1,FALSE)</f>
        <v>#N/A</v>
      </c>
      <c r="O225" t="e">
        <f>VLOOKUP(A225, KeyData!A:C,1,FALSE)</f>
        <v>#N/A</v>
      </c>
      <c r="P225" s="439"/>
    </row>
    <row r="226" spans="1:16" x14ac:dyDescent="0.25">
      <c r="A226" s="439" t="str">
        <f t="shared" si="3"/>
        <v>231116000_700</v>
      </c>
      <c r="B226" s="1006" t="s">
        <v>1208</v>
      </c>
      <c r="C226" s="796" t="s">
        <v>1209</v>
      </c>
      <c r="D226" s="794" t="s">
        <v>1202</v>
      </c>
      <c r="E226" s="794" t="s">
        <v>1116</v>
      </c>
      <c r="F226" s="979"/>
      <c r="G226" s="979">
        <v>60849.578000000001</v>
      </c>
      <c r="H226" s="979">
        <v>428896.77600000001</v>
      </c>
      <c r="I226" s="979">
        <v>86417.1</v>
      </c>
      <c r="J226" s="979">
        <v>428896.77600000001</v>
      </c>
      <c r="K226" s="979">
        <v>428896.77600000001</v>
      </c>
      <c r="L226" s="982">
        <v>64368.7</v>
      </c>
      <c r="M226" s="439"/>
      <c r="N226" t="e">
        <f>VLOOKUP(A226, 'P&amp;L'!A:B,1,FALSE)</f>
        <v>#N/A</v>
      </c>
      <c r="O226" t="e">
        <f>VLOOKUP(A226, KeyData!A:C,1,FALSE)</f>
        <v>#N/A</v>
      </c>
      <c r="P226" s="439"/>
    </row>
    <row r="227" spans="1:16" x14ac:dyDescent="0.25">
      <c r="A227" s="439" t="str">
        <f t="shared" si="3"/>
        <v>231116000_710</v>
      </c>
      <c r="B227" s="1006" t="s">
        <v>1208</v>
      </c>
      <c r="C227" s="796" t="s">
        <v>1209</v>
      </c>
      <c r="D227" s="794" t="s">
        <v>1203</v>
      </c>
      <c r="E227" s="794" t="s">
        <v>1169</v>
      </c>
      <c r="F227" s="979"/>
      <c r="G227" s="979">
        <v>377732.56599999999</v>
      </c>
      <c r="H227" s="979">
        <v>19437.772000000001</v>
      </c>
      <c r="I227" s="979">
        <v>-83760.3</v>
      </c>
      <c r="J227" s="979">
        <v>-203404.37599999999</v>
      </c>
      <c r="K227" s="979">
        <v>-364528.076</v>
      </c>
      <c r="L227" s="982">
        <v>-385.06900000000002</v>
      </c>
      <c r="M227" s="439"/>
      <c r="N227" t="e">
        <f>VLOOKUP(A227, 'P&amp;L'!A:B,1,FALSE)</f>
        <v>#N/A</v>
      </c>
      <c r="O227" t="e">
        <f>VLOOKUP(A227, KeyData!A:C,1,FALSE)</f>
        <v>#N/A</v>
      </c>
      <c r="P227" s="439"/>
    </row>
    <row r="228" spans="1:16" x14ac:dyDescent="0.25">
      <c r="A228" s="439" t="str">
        <f t="shared" si="3"/>
        <v>231116000_760</v>
      </c>
      <c r="B228" s="1006" t="s">
        <v>1208</v>
      </c>
      <c r="C228" s="796" t="s">
        <v>1209</v>
      </c>
      <c r="D228" s="794" t="s">
        <v>1205</v>
      </c>
      <c r="E228" s="794" t="s">
        <v>1122</v>
      </c>
      <c r="F228" s="979"/>
      <c r="G228" s="979">
        <v>0</v>
      </c>
      <c r="H228" s="979">
        <v>0</v>
      </c>
      <c r="I228" s="979"/>
      <c r="J228" s="979">
        <v>0</v>
      </c>
      <c r="K228" s="979">
        <v>0</v>
      </c>
      <c r="L228" s="982"/>
      <c r="M228" s="439"/>
      <c r="N228" t="e">
        <f>VLOOKUP(A228, 'P&amp;L'!A:B,1,FALSE)</f>
        <v>#N/A</v>
      </c>
      <c r="O228" t="e">
        <f>VLOOKUP(A228, KeyData!A:C,1,FALSE)</f>
        <v>#N/A</v>
      </c>
      <c r="P228" s="439"/>
    </row>
    <row r="229" spans="1:16" x14ac:dyDescent="0.25">
      <c r="A229" s="439" t="str">
        <f t="shared" si="3"/>
        <v>231116000_Result</v>
      </c>
      <c r="B229" s="1006" t="s">
        <v>1208</v>
      </c>
      <c r="C229" s="796" t="s">
        <v>1209</v>
      </c>
      <c r="D229" s="824" t="s">
        <v>1129</v>
      </c>
      <c r="E229" s="822"/>
      <c r="F229" s="980"/>
      <c r="G229" s="980">
        <v>438582.14399999997</v>
      </c>
      <c r="H229" s="980">
        <v>448334.54800000001</v>
      </c>
      <c r="I229" s="980">
        <v>2656.8</v>
      </c>
      <c r="J229" s="980">
        <v>225492.4</v>
      </c>
      <c r="K229" s="980">
        <v>64368.7</v>
      </c>
      <c r="L229" s="983">
        <v>63983.631000000001</v>
      </c>
      <c r="M229" s="439"/>
      <c r="N229" t="e">
        <f>VLOOKUP(A229, 'P&amp;L'!A:B,1,FALSE)</f>
        <v>#N/A</v>
      </c>
      <c r="O229" t="e">
        <f>VLOOKUP(A229, KeyData!A:C,1,FALSE)</f>
        <v>#N/A</v>
      </c>
      <c r="P229" s="439"/>
    </row>
    <row r="230" spans="1:16" x14ac:dyDescent="0.25">
      <c r="A230" s="439" t="str">
        <f t="shared" si="3"/>
        <v>231117000_700</v>
      </c>
      <c r="B230" s="1006" t="s">
        <v>1210</v>
      </c>
      <c r="C230" s="796" t="s">
        <v>1211</v>
      </c>
      <c r="D230" s="794" t="s">
        <v>1202</v>
      </c>
      <c r="E230" s="794" t="s">
        <v>1116</v>
      </c>
      <c r="F230" s="979"/>
      <c r="G230" s="979">
        <v>195030.06200000001</v>
      </c>
      <c r="H230" s="979">
        <v>368253.56900000002</v>
      </c>
      <c r="I230" s="979"/>
      <c r="J230" s="979">
        <v>368253.56900000002</v>
      </c>
      <c r="K230" s="979">
        <v>368253.56900000002</v>
      </c>
      <c r="L230" s="982">
        <v>4948.1589999999997</v>
      </c>
      <c r="M230" s="439"/>
      <c r="N230" t="e">
        <f>VLOOKUP(A230, 'P&amp;L'!A:B,1,FALSE)</f>
        <v>#N/A</v>
      </c>
      <c r="O230" t="e">
        <f>VLOOKUP(A230, KeyData!A:C,1,FALSE)</f>
        <v>#N/A</v>
      </c>
      <c r="P230" s="439"/>
    </row>
    <row r="231" spans="1:16" x14ac:dyDescent="0.25">
      <c r="A231" s="439" t="str">
        <f t="shared" si="3"/>
        <v>231117000_710</v>
      </c>
      <c r="B231" s="1006" t="s">
        <v>1210</v>
      </c>
      <c r="C231" s="796" t="s">
        <v>1211</v>
      </c>
      <c r="D231" s="794" t="s">
        <v>1203</v>
      </c>
      <c r="E231" s="794" t="s">
        <v>1169</v>
      </c>
      <c r="F231" s="979"/>
      <c r="G231" s="979">
        <v>193438.967</v>
      </c>
      <c r="H231" s="979">
        <v>-171766.41699999999</v>
      </c>
      <c r="I231" s="979"/>
      <c r="J231" s="979">
        <v>-24068.133000000002</v>
      </c>
      <c r="K231" s="979">
        <v>-383520.87</v>
      </c>
      <c r="L231" s="982">
        <v>-4948.1589999999997</v>
      </c>
      <c r="M231" s="439"/>
      <c r="N231" t="e">
        <f>VLOOKUP(A231, 'P&amp;L'!A:B,1,FALSE)</f>
        <v>#N/A</v>
      </c>
      <c r="O231" t="e">
        <f>VLOOKUP(A231, KeyData!A:C,1,FALSE)</f>
        <v>#N/A</v>
      </c>
      <c r="P231" s="439"/>
    </row>
    <row r="232" spans="1:16" x14ac:dyDescent="0.25">
      <c r="A232" s="439" t="str">
        <f t="shared" si="3"/>
        <v>231117000_740</v>
      </c>
      <c r="B232" s="1006" t="s">
        <v>1210</v>
      </c>
      <c r="C232" s="796" t="s">
        <v>1211</v>
      </c>
      <c r="D232" s="794" t="s">
        <v>1204</v>
      </c>
      <c r="E232" s="794" t="s">
        <v>1141</v>
      </c>
      <c r="F232" s="979"/>
      <c r="G232" s="979"/>
      <c r="H232" s="979">
        <v>20215.46</v>
      </c>
      <c r="I232" s="979"/>
      <c r="J232" s="979">
        <v>20215.46</v>
      </c>
      <c r="K232" s="979">
        <v>20215.46</v>
      </c>
      <c r="L232" s="982"/>
      <c r="M232" s="439"/>
      <c r="N232" t="e">
        <f>VLOOKUP(A232, 'P&amp;L'!A:B,1,FALSE)</f>
        <v>#N/A</v>
      </c>
      <c r="O232" t="e">
        <f>VLOOKUP(A232, KeyData!A:C,1,FALSE)</f>
        <v>#N/A</v>
      </c>
      <c r="P232" s="439"/>
    </row>
    <row r="233" spans="1:16" x14ac:dyDescent="0.25">
      <c r="A233" s="439" t="str">
        <f t="shared" si="3"/>
        <v>231117000_760</v>
      </c>
      <c r="B233" s="1006" t="s">
        <v>1210</v>
      </c>
      <c r="C233" s="796" t="s">
        <v>1211</v>
      </c>
      <c r="D233" s="794" t="s">
        <v>1205</v>
      </c>
      <c r="E233" s="794" t="s">
        <v>1122</v>
      </c>
      <c r="F233" s="979"/>
      <c r="G233" s="979">
        <v>0</v>
      </c>
      <c r="H233" s="979">
        <v>0</v>
      </c>
      <c r="I233" s="979"/>
      <c r="J233" s="979">
        <v>0</v>
      </c>
      <c r="K233" s="979">
        <v>0</v>
      </c>
      <c r="L233" s="982"/>
      <c r="M233" s="439"/>
      <c r="N233" t="e">
        <f>VLOOKUP(A233, 'P&amp;L'!A:B,1,FALSE)</f>
        <v>#N/A</v>
      </c>
      <c r="O233" t="e">
        <f>VLOOKUP(A233, KeyData!A:C,1,FALSE)</f>
        <v>#N/A</v>
      </c>
      <c r="P233" s="439"/>
    </row>
    <row r="234" spans="1:16" x14ac:dyDescent="0.25">
      <c r="A234" s="439" t="str">
        <f t="shared" si="3"/>
        <v>231117000_Result</v>
      </c>
      <c r="B234" s="1006" t="s">
        <v>1210</v>
      </c>
      <c r="C234" s="796" t="s">
        <v>1211</v>
      </c>
      <c r="D234" s="824" t="s">
        <v>1129</v>
      </c>
      <c r="E234" s="822"/>
      <c r="F234" s="980"/>
      <c r="G234" s="980">
        <v>388469.02899999998</v>
      </c>
      <c r="H234" s="980">
        <v>216702.61199999999</v>
      </c>
      <c r="I234" s="980"/>
      <c r="J234" s="980">
        <v>364400.89600000001</v>
      </c>
      <c r="K234" s="980">
        <v>4948.1589999999997</v>
      </c>
      <c r="L234" s="983">
        <v>0</v>
      </c>
      <c r="M234" s="439"/>
      <c r="N234" t="e">
        <f>VLOOKUP(A234, 'P&amp;L'!A:B,1,FALSE)</f>
        <v>#N/A</v>
      </c>
      <c r="O234" t="e">
        <f>VLOOKUP(A234, KeyData!A:C,1,FALSE)</f>
        <v>#N/A</v>
      </c>
      <c r="P234" s="439"/>
    </row>
    <row r="235" spans="1:16" x14ac:dyDescent="0.25">
      <c r="A235" s="439" t="str">
        <f t="shared" si="3"/>
        <v>231121000_700</v>
      </c>
      <c r="B235" s="1006" t="s">
        <v>1212</v>
      </c>
      <c r="C235" s="796" t="s">
        <v>1213</v>
      </c>
      <c r="D235" s="794" t="s">
        <v>1202</v>
      </c>
      <c r="E235" s="794" t="s">
        <v>1116</v>
      </c>
      <c r="F235" s="979"/>
      <c r="G235" s="979">
        <v>-103.63500000000001</v>
      </c>
      <c r="H235" s="979">
        <v>86.22</v>
      </c>
      <c r="I235" s="979"/>
      <c r="J235" s="979">
        <v>86.22</v>
      </c>
      <c r="K235" s="979">
        <v>86.22</v>
      </c>
      <c r="L235" s="982"/>
      <c r="M235" s="439"/>
      <c r="N235" t="e">
        <f>VLOOKUP(A235, 'P&amp;L'!A:B,1,FALSE)</f>
        <v>#N/A</v>
      </c>
      <c r="O235" t="e">
        <f>VLOOKUP(A235, KeyData!A:C,1,FALSE)</f>
        <v>#N/A</v>
      </c>
      <c r="P235" s="439"/>
    </row>
    <row r="236" spans="1:16" x14ac:dyDescent="0.25">
      <c r="A236" s="439" t="str">
        <f t="shared" si="3"/>
        <v>231121000_710</v>
      </c>
      <c r="B236" s="1006" t="s">
        <v>1212</v>
      </c>
      <c r="C236" s="796" t="s">
        <v>1213</v>
      </c>
      <c r="D236" s="794" t="s">
        <v>1203</v>
      </c>
      <c r="E236" s="794" t="s">
        <v>1169</v>
      </c>
      <c r="F236" s="979"/>
      <c r="G236" s="979">
        <v>-727.51700000000005</v>
      </c>
      <c r="H236" s="979">
        <v>6894.4170000000004</v>
      </c>
      <c r="I236" s="979"/>
      <c r="J236" s="979">
        <v>-86.22</v>
      </c>
      <c r="K236" s="979">
        <v>-128.078</v>
      </c>
      <c r="L236" s="982"/>
      <c r="M236" s="439"/>
      <c r="N236" t="e">
        <f>VLOOKUP(A236, 'P&amp;L'!A:B,1,FALSE)</f>
        <v>#N/A</v>
      </c>
      <c r="O236" t="e">
        <f>VLOOKUP(A236, KeyData!A:C,1,FALSE)</f>
        <v>#N/A</v>
      </c>
      <c r="P236" s="439"/>
    </row>
    <row r="237" spans="1:16" x14ac:dyDescent="0.25">
      <c r="A237" s="439" t="str">
        <f t="shared" si="3"/>
        <v>231121000_740</v>
      </c>
      <c r="B237" s="1006" t="s">
        <v>1212</v>
      </c>
      <c r="C237" s="796" t="s">
        <v>1213</v>
      </c>
      <c r="D237" s="794" t="s">
        <v>1204</v>
      </c>
      <c r="E237" s="794" t="s">
        <v>1141</v>
      </c>
      <c r="F237" s="979"/>
      <c r="G237" s="979">
        <v>831.15200000000004</v>
      </c>
      <c r="H237" s="979">
        <v>41.857999999999997</v>
      </c>
      <c r="I237" s="979"/>
      <c r="J237" s="979">
        <v>41.857999999999997</v>
      </c>
      <c r="K237" s="979">
        <v>41.857999999999997</v>
      </c>
      <c r="L237" s="982"/>
      <c r="M237" s="439"/>
      <c r="N237" t="e">
        <f>VLOOKUP(A237, 'P&amp;L'!A:B,1,FALSE)</f>
        <v>#N/A</v>
      </c>
      <c r="O237" t="e">
        <f>VLOOKUP(A237, KeyData!A:C,1,FALSE)</f>
        <v>#N/A</v>
      </c>
      <c r="P237" s="439"/>
    </row>
    <row r="238" spans="1:16" x14ac:dyDescent="0.25">
      <c r="A238" s="439" t="str">
        <f t="shared" si="3"/>
        <v>231121000_760</v>
      </c>
      <c r="B238" s="1006" t="s">
        <v>1212</v>
      </c>
      <c r="C238" s="796" t="s">
        <v>1213</v>
      </c>
      <c r="D238" s="794" t="s">
        <v>1205</v>
      </c>
      <c r="E238" s="794" t="s">
        <v>1122</v>
      </c>
      <c r="F238" s="979"/>
      <c r="G238" s="979">
        <v>0</v>
      </c>
      <c r="H238" s="979">
        <v>0</v>
      </c>
      <c r="I238" s="979"/>
      <c r="J238" s="979">
        <v>0</v>
      </c>
      <c r="K238" s="979">
        <v>0</v>
      </c>
      <c r="L238" s="982"/>
      <c r="M238" s="439"/>
      <c r="N238" t="e">
        <f>VLOOKUP(A238, 'P&amp;L'!A:B,1,FALSE)</f>
        <v>#N/A</v>
      </c>
      <c r="O238" t="e">
        <f>VLOOKUP(A238, KeyData!A:C,1,FALSE)</f>
        <v>#N/A</v>
      </c>
      <c r="P238" s="439"/>
    </row>
    <row r="239" spans="1:16" x14ac:dyDescent="0.25">
      <c r="A239" s="439" t="str">
        <f t="shared" si="3"/>
        <v>231121000_Result</v>
      </c>
      <c r="B239" s="1006" t="s">
        <v>1212</v>
      </c>
      <c r="C239" s="796" t="s">
        <v>1213</v>
      </c>
      <c r="D239" s="824" t="s">
        <v>1129</v>
      </c>
      <c r="E239" s="822"/>
      <c r="F239" s="980"/>
      <c r="G239" s="980">
        <v>0</v>
      </c>
      <c r="H239" s="980">
        <v>7022.4949999999999</v>
      </c>
      <c r="I239" s="980"/>
      <c r="J239" s="980">
        <v>41.857999999999997</v>
      </c>
      <c r="K239" s="980">
        <v>0</v>
      </c>
      <c r="L239" s="983"/>
      <c r="M239" s="439"/>
      <c r="N239" t="e">
        <f>VLOOKUP(A239, 'P&amp;L'!A:B,1,FALSE)</f>
        <v>#N/A</v>
      </c>
      <c r="O239" t="e">
        <f>VLOOKUP(A239, KeyData!A:C,1,FALSE)</f>
        <v>#N/A</v>
      </c>
      <c r="P239" s="439"/>
    </row>
    <row r="240" spans="1:16" x14ac:dyDescent="0.25">
      <c r="A240" s="439" t="str">
        <f t="shared" si="3"/>
        <v>302500000_#</v>
      </c>
      <c r="B240" s="1005" t="s">
        <v>1214</v>
      </c>
      <c r="C240" s="795" t="s">
        <v>207</v>
      </c>
      <c r="D240" s="794" t="s">
        <v>1215</v>
      </c>
      <c r="E240" s="794" t="s">
        <v>1216</v>
      </c>
      <c r="F240" s="979"/>
      <c r="G240" s="979">
        <v>-472069.7</v>
      </c>
      <c r="H240" s="979">
        <v>142190.236</v>
      </c>
      <c r="I240" s="979">
        <v>-625800.848</v>
      </c>
      <c r="J240" s="979">
        <v>1973986.8910000001</v>
      </c>
      <c r="K240" s="979">
        <v>1601099.409</v>
      </c>
      <c r="L240" s="982">
        <v>1776712.9140000001</v>
      </c>
      <c r="M240" s="439"/>
      <c r="N240" t="e">
        <f>VLOOKUP(A240, 'P&amp;L'!A:B,1,FALSE)</f>
        <v>#N/A</v>
      </c>
      <c r="O240" t="e">
        <f>VLOOKUP(A240, KeyData!A:C,1,FALSE)</f>
        <v>#N/A</v>
      </c>
      <c r="P240" s="439"/>
    </row>
    <row r="241" spans="1:16" x14ac:dyDescent="0.25">
      <c r="A241" s="439" t="str">
        <f t="shared" si="3"/>
        <v>302500000_Result</v>
      </c>
      <c r="B241" s="1005" t="s">
        <v>1214</v>
      </c>
      <c r="C241" s="795" t="s">
        <v>207</v>
      </c>
      <c r="D241" s="824" t="s">
        <v>1129</v>
      </c>
      <c r="E241" s="822"/>
      <c r="F241" s="980"/>
      <c r="G241" s="980">
        <v>-472069.7</v>
      </c>
      <c r="H241" s="980">
        <v>142190.236</v>
      </c>
      <c r="I241" s="980">
        <v>-625800.848</v>
      </c>
      <c r="J241" s="980">
        <v>1973986.8910000001</v>
      </c>
      <c r="K241" s="980">
        <v>1601099.409</v>
      </c>
      <c r="L241" s="983">
        <v>1776712.9140000001</v>
      </c>
      <c r="M241" s="439"/>
      <c r="N241" t="str">
        <f>VLOOKUP(A241, 'P&amp;L'!A:B,1,FALSE)</f>
        <v>302500000_Result</v>
      </c>
      <c r="O241" t="e">
        <f>VLOOKUP(A241, KeyData!A:C,1,FALSE)</f>
        <v>#N/A</v>
      </c>
      <c r="P241" s="439"/>
    </row>
    <row r="242" spans="1:16" x14ac:dyDescent="0.25">
      <c r="A242" s="439" t="str">
        <f t="shared" si="3"/>
        <v>303000000_#</v>
      </c>
      <c r="B242" s="1007" t="s">
        <v>1217</v>
      </c>
      <c r="C242" s="796" t="s">
        <v>1218</v>
      </c>
      <c r="D242" s="794" t="s">
        <v>1215</v>
      </c>
      <c r="E242" s="794" t="s">
        <v>1216</v>
      </c>
      <c r="F242" s="979"/>
      <c r="G242" s="979">
        <v>-472069.7</v>
      </c>
      <c r="H242" s="979">
        <v>142190.236</v>
      </c>
      <c r="I242" s="979">
        <v>-625800.848</v>
      </c>
      <c r="J242" s="979">
        <v>1973986.8910000001</v>
      </c>
      <c r="K242" s="979">
        <v>1601099.409</v>
      </c>
      <c r="L242" s="982">
        <v>1776712.9140000001</v>
      </c>
      <c r="M242" s="439"/>
      <c r="N242" t="e">
        <f>VLOOKUP(A242, 'P&amp;L'!A:B,1,FALSE)</f>
        <v>#N/A</v>
      </c>
      <c r="O242" t="e">
        <f>VLOOKUP(A242, KeyData!A:C,1,FALSE)</f>
        <v>#N/A</v>
      </c>
      <c r="P242" s="439"/>
    </row>
    <row r="243" spans="1:16" x14ac:dyDescent="0.25">
      <c r="A243" s="439" t="str">
        <f t="shared" si="3"/>
        <v>303000000_Result</v>
      </c>
      <c r="B243" s="1007" t="s">
        <v>1217</v>
      </c>
      <c r="C243" s="796" t="s">
        <v>1218</v>
      </c>
      <c r="D243" s="824" t="s">
        <v>1129</v>
      </c>
      <c r="E243" s="822"/>
      <c r="F243" s="980"/>
      <c r="G243" s="980">
        <v>-472069.7</v>
      </c>
      <c r="H243" s="980">
        <v>142190.236</v>
      </c>
      <c r="I243" s="980">
        <v>-625800.848</v>
      </c>
      <c r="J243" s="980">
        <v>1973986.8910000001</v>
      </c>
      <c r="K243" s="980">
        <v>1601099.409</v>
      </c>
      <c r="L243" s="983">
        <v>1776712.9140000001</v>
      </c>
      <c r="M243" s="439"/>
      <c r="N243" t="str">
        <f>VLOOKUP(A243, 'P&amp;L'!A:B,1,FALSE)</f>
        <v>303000000_Result</v>
      </c>
      <c r="O243" t="e">
        <f>VLOOKUP(A243, KeyData!A:C,1,FALSE)</f>
        <v>#N/A</v>
      </c>
      <c r="P243" s="439"/>
    </row>
    <row r="244" spans="1:16" x14ac:dyDescent="0.25">
      <c r="A244" s="439" t="str">
        <f t="shared" si="3"/>
        <v>303500000_#</v>
      </c>
      <c r="B244" s="1009" t="s">
        <v>1219</v>
      </c>
      <c r="C244" s="797" t="s">
        <v>852</v>
      </c>
      <c r="D244" s="794" t="s">
        <v>1215</v>
      </c>
      <c r="E244" s="794" t="s">
        <v>1216</v>
      </c>
      <c r="F244" s="979"/>
      <c r="G244" s="979">
        <v>1017868.069</v>
      </c>
      <c r="H244" s="979">
        <v>1115683.5430000001</v>
      </c>
      <c r="I244" s="979">
        <v>1452158.2209999999</v>
      </c>
      <c r="J244" s="979">
        <v>4037610.59</v>
      </c>
      <c r="K244" s="979">
        <v>3599479.4369999999</v>
      </c>
      <c r="L244" s="982">
        <v>4413674.7769999998</v>
      </c>
      <c r="M244" s="439"/>
      <c r="N244" t="e">
        <f>VLOOKUP(A244, 'P&amp;L'!A:B,1,FALSE)</f>
        <v>#N/A</v>
      </c>
      <c r="O244" t="e">
        <f>VLOOKUP(A244, KeyData!A:C,1,FALSE)</f>
        <v>#N/A</v>
      </c>
      <c r="P244" s="439"/>
    </row>
    <row r="245" spans="1:16" x14ac:dyDescent="0.25">
      <c r="A245" s="439" t="str">
        <f t="shared" si="3"/>
        <v>303500000_Result</v>
      </c>
      <c r="B245" s="1009" t="s">
        <v>1219</v>
      </c>
      <c r="C245" s="797" t="s">
        <v>852</v>
      </c>
      <c r="D245" s="824" t="s">
        <v>1129</v>
      </c>
      <c r="E245" s="822"/>
      <c r="F245" s="980"/>
      <c r="G245" s="980">
        <v>1017868.069</v>
      </c>
      <c r="H245" s="980">
        <v>1115683.5430000001</v>
      </c>
      <c r="I245" s="980">
        <v>1452158.2209999999</v>
      </c>
      <c r="J245" s="980">
        <v>4037610.59</v>
      </c>
      <c r="K245" s="980">
        <v>3599479.4369999999</v>
      </c>
      <c r="L245" s="983">
        <v>4413674.7769999998</v>
      </c>
      <c r="M245" s="439"/>
      <c r="N245" t="str">
        <f>VLOOKUP(A245, 'P&amp;L'!A:B,1,FALSE)</f>
        <v>303500000_Result</v>
      </c>
      <c r="O245" t="e">
        <f>VLOOKUP(A245, KeyData!A:C,1,FALSE)</f>
        <v>#N/A</v>
      </c>
      <c r="P245" s="439"/>
    </row>
    <row r="246" spans="1:16" x14ac:dyDescent="0.25">
      <c r="A246" s="439" t="str">
        <f t="shared" si="3"/>
        <v>304000000_#</v>
      </c>
      <c r="B246" s="1010" t="s">
        <v>1220</v>
      </c>
      <c r="C246" s="798" t="s">
        <v>1221</v>
      </c>
      <c r="D246" s="794" t="s">
        <v>1215</v>
      </c>
      <c r="E246" s="794" t="s">
        <v>1216</v>
      </c>
      <c r="F246" s="979"/>
      <c r="G246" s="979">
        <v>2448460.4819999998</v>
      </c>
      <c r="H246" s="979">
        <v>2168972.8849999998</v>
      </c>
      <c r="I246" s="979">
        <v>3340438.3050000002</v>
      </c>
      <c r="J246" s="979">
        <v>6036489.2189999996</v>
      </c>
      <c r="K246" s="979">
        <v>5643511.5630000001</v>
      </c>
      <c r="L246" s="982">
        <v>7021047.449</v>
      </c>
      <c r="M246" s="439"/>
      <c r="N246" t="e">
        <f>VLOOKUP(A246, 'P&amp;L'!A:B,1,FALSE)</f>
        <v>#N/A</v>
      </c>
      <c r="O246" t="e">
        <f>VLOOKUP(A246, KeyData!A:C,1,FALSE)</f>
        <v>#N/A</v>
      </c>
      <c r="P246" s="439"/>
    </row>
    <row r="247" spans="1:16" x14ac:dyDescent="0.25">
      <c r="A247" s="439" t="str">
        <f t="shared" si="3"/>
        <v>304000000_Result</v>
      </c>
      <c r="B247" s="1010" t="s">
        <v>1220</v>
      </c>
      <c r="C247" s="798" t="s">
        <v>1221</v>
      </c>
      <c r="D247" s="824" t="s">
        <v>1129</v>
      </c>
      <c r="E247" s="822"/>
      <c r="F247" s="980"/>
      <c r="G247" s="980">
        <v>2448460.4819999998</v>
      </c>
      <c r="H247" s="980">
        <v>2168972.8849999998</v>
      </c>
      <c r="I247" s="980">
        <v>3340438.3050000002</v>
      </c>
      <c r="J247" s="980">
        <v>6036489.2189999996</v>
      </c>
      <c r="K247" s="980">
        <v>5643511.5630000001</v>
      </c>
      <c r="L247" s="983">
        <v>7021047.449</v>
      </c>
      <c r="M247" s="439"/>
      <c r="N247" t="str">
        <f>VLOOKUP(A247, 'P&amp;L'!A:B,1,FALSE)</f>
        <v>304000000_Result</v>
      </c>
      <c r="O247" t="e">
        <f>VLOOKUP(A247, KeyData!A:C,1,FALSE)</f>
        <v>#N/A</v>
      </c>
      <c r="P247" s="439"/>
    </row>
    <row r="248" spans="1:16" x14ac:dyDescent="0.25">
      <c r="A248" s="439" t="str">
        <f t="shared" si="3"/>
        <v>304500000_#</v>
      </c>
      <c r="B248" s="600" t="s">
        <v>1222</v>
      </c>
      <c r="C248" s="825" t="s">
        <v>195</v>
      </c>
      <c r="D248" s="794" t="s">
        <v>1215</v>
      </c>
      <c r="E248" s="794" t="s">
        <v>1216</v>
      </c>
      <c r="F248" s="979"/>
      <c r="G248" s="979">
        <v>8731433.4010000005</v>
      </c>
      <c r="H248" s="979">
        <v>10156179.187999999</v>
      </c>
      <c r="I248" s="979">
        <v>16410304.291999999</v>
      </c>
      <c r="J248" s="979">
        <v>20081463.52</v>
      </c>
      <c r="K248" s="979">
        <v>21211769.708999999</v>
      </c>
      <c r="L248" s="982">
        <v>20571529.809999999</v>
      </c>
      <c r="M248" s="439"/>
      <c r="N248" t="e">
        <f>VLOOKUP(A248, 'P&amp;L'!A:B,1,FALSE)</f>
        <v>#N/A</v>
      </c>
      <c r="O248" t="e">
        <f>VLOOKUP(A248, KeyData!A:C,1,FALSE)</f>
        <v>#N/A</v>
      </c>
      <c r="P248" s="439"/>
    </row>
    <row r="249" spans="1:16" x14ac:dyDescent="0.25">
      <c r="A249" s="439" t="str">
        <f t="shared" si="3"/>
        <v>304500000_Result</v>
      </c>
      <c r="B249" s="600" t="s">
        <v>1222</v>
      </c>
      <c r="C249" s="825" t="s">
        <v>195</v>
      </c>
      <c r="D249" s="824" t="s">
        <v>1129</v>
      </c>
      <c r="E249" s="822"/>
      <c r="F249" s="980"/>
      <c r="G249" s="980">
        <v>8731433.4010000005</v>
      </c>
      <c r="H249" s="980">
        <v>10156179.187999999</v>
      </c>
      <c r="I249" s="980">
        <v>16410304.291999999</v>
      </c>
      <c r="J249" s="980">
        <v>20081463.52</v>
      </c>
      <c r="K249" s="980">
        <v>21211769.708999999</v>
      </c>
      <c r="L249" s="983">
        <v>20571529.809999999</v>
      </c>
      <c r="M249" s="439"/>
      <c r="N249" t="str">
        <f>VLOOKUP(A249, 'P&amp;L'!A:B,1,FALSE)</f>
        <v>304500000_Result</v>
      </c>
      <c r="O249" t="e">
        <f>VLOOKUP(A249, KeyData!A:C,1,FALSE)</f>
        <v>#N/A</v>
      </c>
      <c r="P249" s="439"/>
    </row>
    <row r="250" spans="1:16" x14ac:dyDescent="0.25">
      <c r="A250" s="439" t="str">
        <f t="shared" si="3"/>
        <v>305000000_#</v>
      </c>
      <c r="B250" s="799" t="s">
        <v>1223</v>
      </c>
      <c r="C250" s="799" t="s">
        <v>745</v>
      </c>
      <c r="D250" s="794" t="s">
        <v>1215</v>
      </c>
      <c r="E250" s="794" t="s">
        <v>1216</v>
      </c>
      <c r="F250" s="979"/>
      <c r="G250" s="979">
        <v>8455643.8120000008</v>
      </c>
      <c r="H250" s="979">
        <v>10156179.187999999</v>
      </c>
      <c r="I250" s="979">
        <v>16410304.291999999</v>
      </c>
      <c r="J250" s="979">
        <v>20081463.52</v>
      </c>
      <c r="K250" s="979">
        <v>21211769.708999999</v>
      </c>
      <c r="L250" s="982">
        <v>20571529.809999999</v>
      </c>
      <c r="M250" s="439"/>
      <c r="N250" t="e">
        <f>VLOOKUP(A250, 'P&amp;L'!A:B,1,FALSE)</f>
        <v>#N/A</v>
      </c>
      <c r="O250" t="e">
        <f>VLOOKUP(A250, KeyData!A:C,1,FALSE)</f>
        <v>#N/A</v>
      </c>
      <c r="P250" s="439"/>
    </row>
    <row r="251" spans="1:16" x14ac:dyDescent="0.25">
      <c r="A251" s="439" t="str">
        <f t="shared" si="3"/>
        <v>305000000_Result</v>
      </c>
      <c r="B251" s="799" t="s">
        <v>1223</v>
      </c>
      <c r="C251" s="799" t="s">
        <v>745</v>
      </c>
      <c r="D251" s="824" t="s">
        <v>1129</v>
      </c>
      <c r="E251" s="822"/>
      <c r="F251" s="980"/>
      <c r="G251" s="980">
        <v>8455643.8120000008</v>
      </c>
      <c r="H251" s="980">
        <v>10156179.187999999</v>
      </c>
      <c r="I251" s="980">
        <v>16410304.291999999</v>
      </c>
      <c r="J251" s="980">
        <v>20081463.52</v>
      </c>
      <c r="K251" s="980">
        <v>21211769.708999999</v>
      </c>
      <c r="L251" s="983">
        <v>20571529.809999999</v>
      </c>
      <c r="M251" s="439"/>
      <c r="N251" t="str">
        <f>VLOOKUP(A251, 'P&amp;L'!A:B,1,FALSE)</f>
        <v>305000000_Result</v>
      </c>
      <c r="O251" t="e">
        <f>VLOOKUP(A251, KeyData!A:C,1,FALSE)</f>
        <v>#N/A</v>
      </c>
      <c r="P251" s="439"/>
    </row>
    <row r="252" spans="1:16" x14ac:dyDescent="0.25">
      <c r="A252" s="439" t="str">
        <f t="shared" si="3"/>
        <v>305001700_#</v>
      </c>
      <c r="B252" s="1011" t="s">
        <v>1224</v>
      </c>
      <c r="C252" s="800" t="s">
        <v>1225</v>
      </c>
      <c r="D252" s="794" t="s">
        <v>1215</v>
      </c>
      <c r="E252" s="794" t="s">
        <v>1216</v>
      </c>
      <c r="F252" s="979"/>
      <c r="G252" s="979">
        <v>78705.42</v>
      </c>
      <c r="H252" s="979">
        <v>33174</v>
      </c>
      <c r="I252" s="979"/>
      <c r="J252" s="979">
        <v>24444</v>
      </c>
      <c r="K252" s="979">
        <v>51676.5</v>
      </c>
      <c r="L252" s="982"/>
      <c r="M252" s="439"/>
      <c r="N252" t="e">
        <f>VLOOKUP(A252, 'P&amp;L'!A:B,1,FALSE)</f>
        <v>#N/A</v>
      </c>
      <c r="O252" t="e">
        <f>VLOOKUP(A252, KeyData!A:C,1,FALSE)</f>
        <v>#N/A</v>
      </c>
      <c r="P252" s="439"/>
    </row>
    <row r="253" spans="1:16" x14ac:dyDescent="0.25">
      <c r="A253" s="439" t="str">
        <f t="shared" si="3"/>
        <v>305001700_Result</v>
      </c>
      <c r="B253" s="1011" t="s">
        <v>1224</v>
      </c>
      <c r="C253" s="800" t="s">
        <v>1225</v>
      </c>
      <c r="D253" s="824" t="s">
        <v>1129</v>
      </c>
      <c r="E253" s="822"/>
      <c r="F253" s="980"/>
      <c r="G253" s="980">
        <v>78705.42</v>
      </c>
      <c r="H253" s="980">
        <v>33174</v>
      </c>
      <c r="I253" s="980"/>
      <c r="J253" s="980">
        <v>24444</v>
      </c>
      <c r="K253" s="980">
        <v>51676.5</v>
      </c>
      <c r="L253" s="983"/>
      <c r="M253" s="439"/>
      <c r="N253" t="str">
        <f>VLOOKUP(A253, 'P&amp;L'!A:B,1,FALSE)</f>
        <v>305001700_Result</v>
      </c>
      <c r="O253" t="e">
        <f>VLOOKUP(A253, KeyData!A:C,1,FALSE)</f>
        <v>#N/A</v>
      </c>
      <c r="P253" s="439"/>
    </row>
    <row r="254" spans="1:16" x14ac:dyDescent="0.25">
      <c r="A254" s="439" t="str">
        <f t="shared" si="3"/>
        <v>305002100_#</v>
      </c>
      <c r="B254" s="1011" t="s">
        <v>1226</v>
      </c>
      <c r="C254" s="800" t="s">
        <v>753</v>
      </c>
      <c r="D254" s="794" t="s">
        <v>1215</v>
      </c>
      <c r="E254" s="794" t="s">
        <v>1216</v>
      </c>
      <c r="F254" s="979"/>
      <c r="G254" s="979">
        <v>8376938.392</v>
      </c>
      <c r="H254" s="979">
        <v>10123005.187999999</v>
      </c>
      <c r="I254" s="979">
        <v>16410304.291999999</v>
      </c>
      <c r="J254" s="979">
        <v>20057019.52</v>
      </c>
      <c r="K254" s="979">
        <v>21160093.208999999</v>
      </c>
      <c r="L254" s="982">
        <v>20571529.809999999</v>
      </c>
      <c r="M254" s="439"/>
      <c r="N254" t="e">
        <f>VLOOKUP(A254, 'P&amp;L'!A:B,1,FALSE)</f>
        <v>#N/A</v>
      </c>
      <c r="O254" t="e">
        <f>VLOOKUP(A254, KeyData!A:C,1,FALSE)</f>
        <v>#N/A</v>
      </c>
      <c r="P254" s="439"/>
    </row>
    <row r="255" spans="1:16" x14ac:dyDescent="0.25">
      <c r="A255" s="439" t="str">
        <f t="shared" si="3"/>
        <v>305002100_Result</v>
      </c>
      <c r="B255" s="1011" t="s">
        <v>1226</v>
      </c>
      <c r="C255" s="800" t="s">
        <v>753</v>
      </c>
      <c r="D255" s="824" t="s">
        <v>1129</v>
      </c>
      <c r="E255" s="822"/>
      <c r="F255" s="980"/>
      <c r="G255" s="980">
        <v>8376938.392</v>
      </c>
      <c r="H255" s="980">
        <v>10123005.187999999</v>
      </c>
      <c r="I255" s="980">
        <v>16410304.291999999</v>
      </c>
      <c r="J255" s="980">
        <v>20057019.52</v>
      </c>
      <c r="K255" s="980">
        <v>21160093.208999999</v>
      </c>
      <c r="L255" s="983">
        <v>20571529.809999999</v>
      </c>
      <c r="M255" s="439"/>
      <c r="N255" t="str">
        <f>VLOOKUP(A255, 'P&amp;L'!A:B,1,FALSE)</f>
        <v>305002100_Result</v>
      </c>
      <c r="O255" t="e">
        <f>VLOOKUP(A255, KeyData!A:C,1,FALSE)</f>
        <v>#N/A</v>
      </c>
      <c r="P255" s="439"/>
    </row>
    <row r="256" spans="1:16" x14ac:dyDescent="0.25">
      <c r="A256" s="439" t="str">
        <f t="shared" si="3"/>
        <v>305500000_#</v>
      </c>
      <c r="B256" s="799" t="s">
        <v>1227</v>
      </c>
      <c r="C256" s="799" t="s">
        <v>755</v>
      </c>
      <c r="D256" s="794" t="s">
        <v>1215</v>
      </c>
      <c r="E256" s="794" t="s">
        <v>1216</v>
      </c>
      <c r="F256" s="979"/>
      <c r="G256" s="979">
        <v>275789.58899999998</v>
      </c>
      <c r="H256" s="979"/>
      <c r="I256" s="979"/>
      <c r="J256" s="979"/>
      <c r="K256" s="979"/>
      <c r="L256" s="982"/>
      <c r="M256" s="439"/>
      <c r="N256" t="e">
        <f>VLOOKUP(A256, 'P&amp;L'!A:B,1,FALSE)</f>
        <v>#N/A</v>
      </c>
      <c r="O256" t="e">
        <f>VLOOKUP(A256, KeyData!A:C,1,FALSE)</f>
        <v>#N/A</v>
      </c>
      <c r="P256" s="439"/>
    </row>
    <row r="257" spans="1:16" x14ac:dyDescent="0.25">
      <c r="A257" s="439" t="str">
        <f t="shared" si="3"/>
        <v>305500000_Result</v>
      </c>
      <c r="B257" s="799" t="s">
        <v>1227</v>
      </c>
      <c r="C257" s="799" t="s">
        <v>755</v>
      </c>
      <c r="D257" s="824" t="s">
        <v>1129</v>
      </c>
      <c r="E257" s="822"/>
      <c r="F257" s="980"/>
      <c r="G257" s="980">
        <v>275789.58899999998</v>
      </c>
      <c r="H257" s="980"/>
      <c r="I257" s="980"/>
      <c r="J257" s="980"/>
      <c r="K257" s="980"/>
      <c r="L257" s="983"/>
      <c r="M257" s="439"/>
      <c r="N257" t="str">
        <f>VLOOKUP(A257, 'P&amp;L'!A:B,1,FALSE)</f>
        <v>305500000_Result</v>
      </c>
      <c r="O257" t="e">
        <f>VLOOKUP(A257, KeyData!A:C,1,FALSE)</f>
        <v>#N/A</v>
      </c>
      <c r="P257" s="439"/>
    </row>
    <row r="258" spans="1:16" x14ac:dyDescent="0.25">
      <c r="A258" s="439" t="str">
        <f t="shared" si="3"/>
        <v>305502200_#</v>
      </c>
      <c r="B258" s="1011" t="s">
        <v>1228</v>
      </c>
      <c r="C258" s="800" t="s">
        <v>1229</v>
      </c>
      <c r="D258" s="794" t="s">
        <v>1215</v>
      </c>
      <c r="E258" s="794" t="s">
        <v>1216</v>
      </c>
      <c r="F258" s="979"/>
      <c r="G258" s="979">
        <v>275789.58899999998</v>
      </c>
      <c r="H258" s="979"/>
      <c r="I258" s="979"/>
      <c r="J258" s="979"/>
      <c r="K258" s="979"/>
      <c r="L258" s="982"/>
      <c r="M258" s="439"/>
      <c r="N258" t="e">
        <f>VLOOKUP(A258, 'P&amp;L'!A:B,1,FALSE)</f>
        <v>#N/A</v>
      </c>
      <c r="O258" t="e">
        <f>VLOOKUP(A258, KeyData!A:C,1,FALSE)</f>
        <v>#N/A</v>
      </c>
      <c r="P258" s="439"/>
    </row>
    <row r="259" spans="1:16" x14ac:dyDescent="0.25">
      <c r="A259" s="439" t="str">
        <f t="shared" ref="A259:A322" si="4" xml:space="preserve"> IFERROR(+B259*1,B259)&amp;"_"&amp;IFERROR(+D259*1,D259)</f>
        <v>305502200_Result</v>
      </c>
      <c r="B259" s="1011" t="s">
        <v>1228</v>
      </c>
      <c r="C259" s="800" t="s">
        <v>1229</v>
      </c>
      <c r="D259" s="824" t="s">
        <v>1129</v>
      </c>
      <c r="E259" s="822"/>
      <c r="F259" s="980"/>
      <c r="G259" s="980">
        <v>275789.58899999998</v>
      </c>
      <c r="H259" s="980"/>
      <c r="I259" s="980"/>
      <c r="J259" s="980"/>
      <c r="K259" s="980"/>
      <c r="L259" s="983"/>
      <c r="M259" s="439"/>
      <c r="N259" t="str">
        <f>VLOOKUP(A259, 'P&amp;L'!A:B,1,FALSE)</f>
        <v>305502200_Result</v>
      </c>
      <c r="O259" t="e">
        <f>VLOOKUP(A259, KeyData!A:C,1,FALSE)</f>
        <v>#N/A</v>
      </c>
      <c r="P259" s="439"/>
    </row>
    <row r="260" spans="1:16" x14ac:dyDescent="0.25">
      <c r="A260" s="439" t="str">
        <f t="shared" si="4"/>
        <v>306000000_#</v>
      </c>
      <c r="B260" s="600" t="s">
        <v>1230</v>
      </c>
      <c r="C260" s="825" t="s">
        <v>761</v>
      </c>
      <c r="D260" s="794" t="s">
        <v>1215</v>
      </c>
      <c r="E260" s="794" t="s">
        <v>1216</v>
      </c>
      <c r="F260" s="979"/>
      <c r="G260" s="979">
        <v>-6282972.9189999998</v>
      </c>
      <c r="H260" s="979">
        <v>-7987206.3030000003</v>
      </c>
      <c r="I260" s="979">
        <v>-13069865.987</v>
      </c>
      <c r="J260" s="979">
        <v>-14044974.301000001</v>
      </c>
      <c r="K260" s="979">
        <v>-15568258.146</v>
      </c>
      <c r="L260" s="982">
        <v>-13550482.361</v>
      </c>
      <c r="M260" s="439"/>
      <c r="N260" t="e">
        <f>VLOOKUP(A260, 'P&amp;L'!A:B,1,FALSE)</f>
        <v>#N/A</v>
      </c>
      <c r="O260" t="e">
        <f>VLOOKUP(A260, KeyData!A:C,1,FALSE)</f>
        <v>#N/A</v>
      </c>
      <c r="P260" s="439"/>
    </row>
    <row r="261" spans="1:16" x14ac:dyDescent="0.25">
      <c r="A261" s="439" t="str">
        <f t="shared" si="4"/>
        <v>306000000_Result</v>
      </c>
      <c r="B261" s="600" t="s">
        <v>1230</v>
      </c>
      <c r="C261" s="825" t="s">
        <v>761</v>
      </c>
      <c r="D261" s="824" t="s">
        <v>1129</v>
      </c>
      <c r="E261" s="822"/>
      <c r="F261" s="980"/>
      <c r="G261" s="980">
        <v>-6282972.9189999998</v>
      </c>
      <c r="H261" s="980">
        <v>-7987206.3030000003</v>
      </c>
      <c r="I261" s="980">
        <v>-13069865.987</v>
      </c>
      <c r="J261" s="980">
        <v>-14044974.301000001</v>
      </c>
      <c r="K261" s="980">
        <v>-15568258.146</v>
      </c>
      <c r="L261" s="983">
        <v>-13550482.361</v>
      </c>
      <c r="M261" s="439"/>
      <c r="N261" t="str">
        <f>VLOOKUP(A261, 'P&amp;L'!A:B,1,FALSE)</f>
        <v>306000000_Result</v>
      </c>
      <c r="O261" t="e">
        <f>VLOOKUP(A261, KeyData!A:C,1,FALSE)</f>
        <v>#N/A</v>
      </c>
      <c r="P261" s="439"/>
    </row>
    <row r="262" spans="1:16" x14ac:dyDescent="0.25">
      <c r="A262" s="439" t="str">
        <f t="shared" si="4"/>
        <v>306500000_#</v>
      </c>
      <c r="B262" s="799" t="s">
        <v>1231</v>
      </c>
      <c r="C262" s="799" t="s">
        <v>1232</v>
      </c>
      <c r="D262" s="794" t="s">
        <v>1215</v>
      </c>
      <c r="E262" s="794" t="s">
        <v>1216</v>
      </c>
      <c r="F262" s="979"/>
      <c r="G262" s="979">
        <v>-6067069.8130000001</v>
      </c>
      <c r="H262" s="979">
        <v>-8091102.1710000001</v>
      </c>
      <c r="I262" s="979">
        <v>-12643020.017999999</v>
      </c>
      <c r="J262" s="979">
        <v>-14548945.956</v>
      </c>
      <c r="K262" s="979">
        <v>-15848789.859999999</v>
      </c>
      <c r="L262" s="982">
        <v>-13293994.628</v>
      </c>
      <c r="M262" s="439"/>
      <c r="N262" t="e">
        <f>VLOOKUP(A262, 'P&amp;L'!A:B,1,FALSE)</f>
        <v>#N/A</v>
      </c>
      <c r="O262" t="e">
        <f>VLOOKUP(A262, KeyData!A:C,1,FALSE)</f>
        <v>#N/A</v>
      </c>
      <c r="P262" s="439"/>
    </row>
    <row r="263" spans="1:16" x14ac:dyDescent="0.25">
      <c r="A263" s="439" t="str">
        <f t="shared" si="4"/>
        <v>306500000_Result</v>
      </c>
      <c r="B263" s="799" t="s">
        <v>1231</v>
      </c>
      <c r="C263" s="799" t="s">
        <v>1232</v>
      </c>
      <c r="D263" s="824" t="s">
        <v>1129</v>
      </c>
      <c r="E263" s="822"/>
      <c r="F263" s="980"/>
      <c r="G263" s="980">
        <v>-6067069.8130000001</v>
      </c>
      <c r="H263" s="980">
        <v>-8091102.1710000001</v>
      </c>
      <c r="I263" s="980">
        <v>-12643020.017999999</v>
      </c>
      <c r="J263" s="980">
        <v>-14548945.956</v>
      </c>
      <c r="K263" s="980">
        <v>-15848789.859999999</v>
      </c>
      <c r="L263" s="983">
        <v>-13293994.628</v>
      </c>
      <c r="M263" s="439"/>
      <c r="N263" t="str">
        <f>VLOOKUP(A263, 'P&amp;L'!A:B,1,FALSE)</f>
        <v>306500000_Result</v>
      </c>
      <c r="O263" t="e">
        <f>VLOOKUP(A263, KeyData!A:C,1,FALSE)</f>
        <v>#N/A</v>
      </c>
      <c r="P263" s="439"/>
    </row>
    <row r="264" spans="1:16" x14ac:dyDescent="0.25">
      <c r="A264" s="439" t="str">
        <f t="shared" si="4"/>
        <v>306501600_#</v>
      </c>
      <c r="B264" s="1011" t="s">
        <v>1233</v>
      </c>
      <c r="C264" s="800" t="s">
        <v>1234</v>
      </c>
      <c r="D264" s="794" t="s">
        <v>1215</v>
      </c>
      <c r="E264" s="794" t="s">
        <v>1216</v>
      </c>
      <c r="F264" s="979"/>
      <c r="G264" s="979">
        <v>-5977089.4479999999</v>
      </c>
      <c r="H264" s="979">
        <v>-7699665.6730000004</v>
      </c>
      <c r="I264" s="979">
        <v>-11992454.185000001</v>
      </c>
      <c r="J264" s="979">
        <v>-13735738.665999999</v>
      </c>
      <c r="K264" s="979">
        <v>-15035582.57</v>
      </c>
      <c r="L264" s="982">
        <v>-13025184.267000001</v>
      </c>
      <c r="M264" s="439"/>
      <c r="N264" t="e">
        <f>VLOOKUP(A264, 'P&amp;L'!A:B,1,FALSE)</f>
        <v>#N/A</v>
      </c>
      <c r="O264" t="e">
        <f>VLOOKUP(A264, KeyData!A:C,1,FALSE)</f>
        <v>#N/A</v>
      </c>
      <c r="P264" s="439"/>
    </row>
    <row r="265" spans="1:16" x14ac:dyDescent="0.25">
      <c r="A265" s="439" t="str">
        <f t="shared" si="4"/>
        <v>306501600_Result</v>
      </c>
      <c r="B265" s="1011" t="s">
        <v>1233</v>
      </c>
      <c r="C265" s="800" t="s">
        <v>1234</v>
      </c>
      <c r="D265" s="824" t="s">
        <v>1129</v>
      </c>
      <c r="E265" s="822"/>
      <c r="F265" s="980"/>
      <c r="G265" s="980">
        <v>-5977089.4479999999</v>
      </c>
      <c r="H265" s="980">
        <v>-7699665.6730000004</v>
      </c>
      <c r="I265" s="980">
        <v>-11992454.185000001</v>
      </c>
      <c r="J265" s="980">
        <v>-13735738.665999999</v>
      </c>
      <c r="K265" s="980">
        <v>-15035582.57</v>
      </c>
      <c r="L265" s="983">
        <v>-13025184.267000001</v>
      </c>
      <c r="M265" s="439"/>
      <c r="N265" t="str">
        <f>VLOOKUP(A265, 'P&amp;L'!A:B,1,FALSE)</f>
        <v>306501600_Result</v>
      </c>
      <c r="O265" t="e">
        <f>VLOOKUP(A265, KeyData!A:C,1,FALSE)</f>
        <v>#N/A</v>
      </c>
      <c r="P265" s="439"/>
    </row>
    <row r="266" spans="1:16" x14ac:dyDescent="0.25">
      <c r="A266" s="439" t="str">
        <f t="shared" si="4"/>
        <v>307000000_#</v>
      </c>
      <c r="B266" s="1012" t="s">
        <v>1235</v>
      </c>
      <c r="C266" s="800" t="s">
        <v>1236</v>
      </c>
      <c r="D266" s="794" t="s">
        <v>1215</v>
      </c>
      <c r="E266" s="794" t="s">
        <v>1216</v>
      </c>
      <c r="F266" s="979"/>
      <c r="G266" s="979">
        <v>-89980.365000000005</v>
      </c>
      <c r="H266" s="979">
        <v>-391436.49800000002</v>
      </c>
      <c r="I266" s="979">
        <v>-650565.83299999998</v>
      </c>
      <c r="J266" s="979">
        <v>-813207.29</v>
      </c>
      <c r="K266" s="979">
        <v>-813207.29</v>
      </c>
      <c r="L266" s="982">
        <v>-268810.36099999998</v>
      </c>
      <c r="M266" s="439"/>
      <c r="N266" t="e">
        <f>VLOOKUP(A266, 'P&amp;L'!A:B,1,FALSE)</f>
        <v>#N/A</v>
      </c>
      <c r="O266" t="e">
        <f>VLOOKUP(A266, KeyData!A:C,1,FALSE)</f>
        <v>#N/A</v>
      </c>
      <c r="P266" s="439"/>
    </row>
    <row r="267" spans="1:16" x14ac:dyDescent="0.25">
      <c r="A267" s="439" t="str">
        <f t="shared" si="4"/>
        <v>307000000_Result</v>
      </c>
      <c r="B267" s="1012" t="s">
        <v>1235</v>
      </c>
      <c r="C267" s="800" t="s">
        <v>1236</v>
      </c>
      <c r="D267" s="824" t="s">
        <v>1129</v>
      </c>
      <c r="E267" s="822"/>
      <c r="F267" s="980"/>
      <c r="G267" s="980">
        <v>-89980.365000000005</v>
      </c>
      <c r="H267" s="980">
        <v>-391436.49800000002</v>
      </c>
      <c r="I267" s="980">
        <v>-650565.83299999998</v>
      </c>
      <c r="J267" s="980">
        <v>-813207.29</v>
      </c>
      <c r="K267" s="980">
        <v>-813207.29</v>
      </c>
      <c r="L267" s="983">
        <v>-268810.36099999998</v>
      </c>
      <c r="M267" s="439"/>
      <c r="N267" t="str">
        <f>VLOOKUP(A267, 'P&amp;L'!A:B,1,FALSE)</f>
        <v>307000000_Result</v>
      </c>
      <c r="O267" t="e">
        <f>VLOOKUP(A267, KeyData!A:C,1,FALSE)</f>
        <v>#N/A</v>
      </c>
      <c r="P267" s="439"/>
    </row>
    <row r="268" spans="1:16" x14ac:dyDescent="0.25">
      <c r="A268" s="439" t="str">
        <f t="shared" si="4"/>
        <v>307001600_#</v>
      </c>
      <c r="B268" s="1013" t="s">
        <v>1237</v>
      </c>
      <c r="C268" s="800" t="s">
        <v>771</v>
      </c>
      <c r="D268" s="794" t="s">
        <v>1215</v>
      </c>
      <c r="E268" s="794" t="s">
        <v>1216</v>
      </c>
      <c r="F268" s="979"/>
      <c r="G268" s="979">
        <v>-53468.207999999999</v>
      </c>
      <c r="H268" s="979">
        <v>-300636.11099999998</v>
      </c>
      <c r="I268" s="979">
        <v>-500150.51</v>
      </c>
      <c r="J268" s="979">
        <v>-625188.13699999999</v>
      </c>
      <c r="K268" s="979">
        <v>-625188.13699999999</v>
      </c>
      <c r="L268" s="982">
        <v>-184781.83300000001</v>
      </c>
      <c r="M268" s="439"/>
      <c r="N268" t="e">
        <f>VLOOKUP(A268, 'P&amp;L'!A:B,1,FALSE)</f>
        <v>#N/A</v>
      </c>
      <c r="O268" t="e">
        <f>VLOOKUP(A268, KeyData!A:C,1,FALSE)</f>
        <v>#N/A</v>
      </c>
      <c r="P268" s="439"/>
    </row>
    <row r="269" spans="1:16" x14ac:dyDescent="0.25">
      <c r="A269" s="439" t="str">
        <f t="shared" si="4"/>
        <v>307001600_Result</v>
      </c>
      <c r="B269" s="1013" t="s">
        <v>1237</v>
      </c>
      <c r="C269" s="800" t="s">
        <v>771</v>
      </c>
      <c r="D269" s="824" t="s">
        <v>1129</v>
      </c>
      <c r="E269" s="822"/>
      <c r="F269" s="980"/>
      <c r="G269" s="980">
        <v>-53468.207999999999</v>
      </c>
      <c r="H269" s="980">
        <v>-300636.11099999998</v>
      </c>
      <c r="I269" s="980">
        <v>-500150.51</v>
      </c>
      <c r="J269" s="980">
        <v>-625188.13699999999</v>
      </c>
      <c r="K269" s="980">
        <v>-625188.13699999999</v>
      </c>
      <c r="L269" s="983">
        <v>-184781.83300000001</v>
      </c>
      <c r="M269" s="439"/>
      <c r="N269" t="str">
        <f>VLOOKUP(A269, 'P&amp;L'!A:B,1,FALSE)</f>
        <v>307001600_Result</v>
      </c>
      <c r="O269" t="e">
        <f>VLOOKUP(A269, KeyData!A:C,1,FALSE)</f>
        <v>#N/A</v>
      </c>
      <c r="P269" s="439"/>
    </row>
    <row r="270" spans="1:16" x14ac:dyDescent="0.25">
      <c r="A270" s="439" t="str">
        <f t="shared" si="4"/>
        <v>307002100_#</v>
      </c>
      <c r="B270" s="1013" t="s">
        <v>1238</v>
      </c>
      <c r="C270" s="800" t="s">
        <v>773</v>
      </c>
      <c r="D270" s="794" t="s">
        <v>1215</v>
      </c>
      <c r="E270" s="794" t="s">
        <v>1216</v>
      </c>
      <c r="F270" s="979"/>
      <c r="G270" s="979">
        <v>-36512.156999999999</v>
      </c>
      <c r="H270" s="979">
        <v>-90800.387000000002</v>
      </c>
      <c r="I270" s="979">
        <v>-150415.323</v>
      </c>
      <c r="J270" s="979">
        <v>-188019.15299999999</v>
      </c>
      <c r="K270" s="979">
        <v>-188019.15299999999</v>
      </c>
      <c r="L270" s="982">
        <v>-84028.528000000006</v>
      </c>
      <c r="M270" s="439"/>
      <c r="N270" t="e">
        <f>VLOOKUP(A270, 'P&amp;L'!A:B,1,FALSE)</f>
        <v>#N/A</v>
      </c>
      <c r="O270" t="e">
        <f>VLOOKUP(A270, KeyData!A:C,1,FALSE)</f>
        <v>#N/A</v>
      </c>
      <c r="P270" s="439"/>
    </row>
    <row r="271" spans="1:16" x14ac:dyDescent="0.25">
      <c r="A271" s="439" t="str">
        <f t="shared" si="4"/>
        <v>307002100_Result</v>
      </c>
      <c r="B271" s="1013" t="s">
        <v>1238</v>
      </c>
      <c r="C271" s="800" t="s">
        <v>773</v>
      </c>
      <c r="D271" s="824" t="s">
        <v>1129</v>
      </c>
      <c r="E271" s="822"/>
      <c r="F271" s="980"/>
      <c r="G271" s="980">
        <v>-36512.156999999999</v>
      </c>
      <c r="H271" s="980">
        <v>-90800.387000000002</v>
      </c>
      <c r="I271" s="980">
        <v>-150415.323</v>
      </c>
      <c r="J271" s="980">
        <v>-188019.15299999999</v>
      </c>
      <c r="K271" s="980">
        <v>-188019.15299999999</v>
      </c>
      <c r="L271" s="983">
        <v>-84028.528000000006</v>
      </c>
      <c r="M271" s="439"/>
      <c r="N271" t="str">
        <f>VLOOKUP(A271, 'P&amp;L'!A:B,1,FALSE)</f>
        <v>307002100_Result</v>
      </c>
      <c r="O271" t="e">
        <f>VLOOKUP(A271, KeyData!A:C,1,FALSE)</f>
        <v>#N/A</v>
      </c>
      <c r="P271" s="439"/>
    </row>
    <row r="272" spans="1:16" x14ac:dyDescent="0.25">
      <c r="A272" s="439" t="str">
        <f t="shared" si="4"/>
        <v>307500000_#</v>
      </c>
      <c r="B272" s="799" t="s">
        <v>1239</v>
      </c>
      <c r="C272" s="799" t="s">
        <v>777</v>
      </c>
      <c r="D272" s="794" t="s">
        <v>1215</v>
      </c>
      <c r="E272" s="794" t="s">
        <v>1216</v>
      </c>
      <c r="F272" s="979"/>
      <c r="G272" s="979">
        <v>-215903.106</v>
      </c>
      <c r="H272" s="979">
        <v>103895.868</v>
      </c>
      <c r="I272" s="979">
        <v>-426845.96899999998</v>
      </c>
      <c r="J272" s="979">
        <v>503971.65500000003</v>
      </c>
      <c r="K272" s="979">
        <v>280531.71399999998</v>
      </c>
      <c r="L272" s="982">
        <v>-256487.73300000001</v>
      </c>
      <c r="M272" s="439"/>
      <c r="N272" t="e">
        <f>VLOOKUP(A272, 'P&amp;L'!A:B,1,FALSE)</f>
        <v>#N/A</v>
      </c>
      <c r="O272" t="e">
        <f>VLOOKUP(A272, KeyData!A:C,1,FALSE)</f>
        <v>#N/A</v>
      </c>
      <c r="P272" s="439"/>
    </row>
    <row r="273" spans="1:16" x14ac:dyDescent="0.25">
      <c r="A273" s="439" t="str">
        <f t="shared" si="4"/>
        <v>307500000_Result</v>
      </c>
      <c r="B273" s="799" t="s">
        <v>1239</v>
      </c>
      <c r="C273" s="799" t="s">
        <v>777</v>
      </c>
      <c r="D273" s="824" t="s">
        <v>1129</v>
      </c>
      <c r="E273" s="822"/>
      <c r="F273" s="980"/>
      <c r="G273" s="980">
        <v>-215903.106</v>
      </c>
      <c r="H273" s="980">
        <v>103895.868</v>
      </c>
      <c r="I273" s="980">
        <v>-426845.96899999998</v>
      </c>
      <c r="J273" s="980">
        <v>503971.65500000003</v>
      </c>
      <c r="K273" s="980">
        <v>280531.71399999998</v>
      </c>
      <c r="L273" s="983">
        <v>-256487.73300000001</v>
      </c>
      <c r="M273" s="439"/>
      <c r="N273" t="str">
        <f>VLOOKUP(A273, 'P&amp;L'!A:B,1,FALSE)</f>
        <v>307500000_Result</v>
      </c>
      <c r="O273" t="e">
        <f>VLOOKUP(A273, KeyData!A:C,1,FALSE)</f>
        <v>#N/A</v>
      </c>
      <c r="P273" s="439"/>
    </row>
    <row r="274" spans="1:16" x14ac:dyDescent="0.25">
      <c r="A274" s="439" t="str">
        <f t="shared" si="4"/>
        <v>308000000_#</v>
      </c>
      <c r="B274" s="1012" t="s">
        <v>1240</v>
      </c>
      <c r="C274" s="800" t="s">
        <v>1241</v>
      </c>
      <c r="D274" s="794" t="s">
        <v>1215</v>
      </c>
      <c r="E274" s="794" t="s">
        <v>1216</v>
      </c>
      <c r="F274" s="979"/>
      <c r="G274" s="979">
        <v>-112883.447</v>
      </c>
      <c r="H274" s="979">
        <v>-254375.997</v>
      </c>
      <c r="I274" s="979"/>
      <c r="J274" s="979">
        <v>-402022.49900000001</v>
      </c>
      <c r="K274" s="979">
        <v>-402022.49900000001</v>
      </c>
      <c r="L274" s="982"/>
      <c r="M274" s="439"/>
      <c r="N274" t="e">
        <f>VLOOKUP(A274, 'P&amp;L'!A:B,1,FALSE)</f>
        <v>#N/A</v>
      </c>
      <c r="O274" t="e">
        <f>VLOOKUP(A274, KeyData!A:C,1,FALSE)</f>
        <v>#N/A</v>
      </c>
      <c r="P274" s="439"/>
    </row>
    <row r="275" spans="1:16" x14ac:dyDescent="0.25">
      <c r="A275" s="439" t="str">
        <f t="shared" si="4"/>
        <v>308000000_Result</v>
      </c>
      <c r="B275" s="1012" t="s">
        <v>1240</v>
      </c>
      <c r="C275" s="800" t="s">
        <v>1241</v>
      </c>
      <c r="D275" s="824" t="s">
        <v>1129</v>
      </c>
      <c r="E275" s="822"/>
      <c r="F275" s="980"/>
      <c r="G275" s="980">
        <v>-112883.447</v>
      </c>
      <c r="H275" s="980">
        <v>-254375.997</v>
      </c>
      <c r="I275" s="980"/>
      <c r="J275" s="980">
        <v>-402022.49900000001</v>
      </c>
      <c r="K275" s="980">
        <v>-402022.49900000001</v>
      </c>
      <c r="L275" s="983"/>
      <c r="M275" s="439"/>
      <c r="N275" t="str">
        <f>VLOOKUP(A275, 'P&amp;L'!A:B,1,FALSE)</f>
        <v>308000000_Result</v>
      </c>
      <c r="O275" t="e">
        <f>VLOOKUP(A275, KeyData!A:C,1,FALSE)</f>
        <v>#N/A</v>
      </c>
      <c r="P275" s="439"/>
    </row>
    <row r="276" spans="1:16" x14ac:dyDescent="0.25">
      <c r="A276" s="439" t="str">
        <f t="shared" si="4"/>
        <v>308001200_#</v>
      </c>
      <c r="B276" s="1014" t="s">
        <v>1242</v>
      </c>
      <c r="C276" s="800" t="s">
        <v>1243</v>
      </c>
      <c r="D276" s="794" t="s">
        <v>1215</v>
      </c>
      <c r="E276" s="794" t="s">
        <v>1216</v>
      </c>
      <c r="F276" s="979"/>
      <c r="G276" s="979">
        <v>-138709.234</v>
      </c>
      <c r="H276" s="979">
        <v>-220322.508</v>
      </c>
      <c r="I276" s="979"/>
      <c r="J276" s="979">
        <v>-335199.76</v>
      </c>
      <c r="K276" s="979">
        <v>-335199.76</v>
      </c>
      <c r="L276" s="982"/>
      <c r="M276" s="439"/>
      <c r="N276" t="e">
        <f>VLOOKUP(A276, 'P&amp;L'!A:B,1,FALSE)</f>
        <v>#N/A</v>
      </c>
      <c r="O276" t="e">
        <f>VLOOKUP(A276, KeyData!A:C,1,FALSE)</f>
        <v>#N/A</v>
      </c>
      <c r="P276" s="439"/>
    </row>
    <row r="277" spans="1:16" x14ac:dyDescent="0.25">
      <c r="A277" s="439" t="str">
        <f t="shared" si="4"/>
        <v>308001200_Result</v>
      </c>
      <c r="B277" s="1014" t="s">
        <v>1242</v>
      </c>
      <c r="C277" s="800" t="s">
        <v>1243</v>
      </c>
      <c r="D277" s="824" t="s">
        <v>1129</v>
      </c>
      <c r="E277" s="822"/>
      <c r="F277" s="980"/>
      <c r="G277" s="980">
        <v>-138709.234</v>
      </c>
      <c r="H277" s="980">
        <v>-220322.508</v>
      </c>
      <c r="I277" s="980"/>
      <c r="J277" s="980">
        <v>-335199.76</v>
      </c>
      <c r="K277" s="980">
        <v>-335199.76</v>
      </c>
      <c r="L277" s="983"/>
      <c r="M277" s="439"/>
      <c r="N277" t="str">
        <f>VLOOKUP(A277, 'P&amp;L'!A:B,1,FALSE)</f>
        <v>308001200_Result</v>
      </c>
      <c r="O277" t="e">
        <f>VLOOKUP(A277, KeyData!A:C,1,FALSE)</f>
        <v>#N/A</v>
      </c>
      <c r="P277" s="439"/>
    </row>
    <row r="278" spans="1:16" x14ac:dyDescent="0.25">
      <c r="A278" s="439" t="str">
        <f t="shared" si="4"/>
        <v>308001210_#</v>
      </c>
      <c r="B278" s="1015" t="s">
        <v>1244</v>
      </c>
      <c r="C278" s="800" t="s">
        <v>1245</v>
      </c>
      <c r="D278" s="794" t="s">
        <v>1215</v>
      </c>
      <c r="E278" s="794" t="s">
        <v>1216</v>
      </c>
      <c r="F278" s="979"/>
      <c r="G278" s="979">
        <v>-73767.922000000006</v>
      </c>
      <c r="H278" s="979">
        <v>-148025.511</v>
      </c>
      <c r="I278" s="979"/>
      <c r="J278" s="979">
        <v>-224484.27600000001</v>
      </c>
      <c r="K278" s="979">
        <v>-224484.27600000001</v>
      </c>
      <c r="L278" s="982"/>
      <c r="M278" s="439"/>
      <c r="N278" t="e">
        <f>VLOOKUP(A278, 'P&amp;L'!A:B,1,FALSE)</f>
        <v>#N/A</v>
      </c>
      <c r="O278" t="e">
        <f>VLOOKUP(A278, KeyData!A:C,1,FALSE)</f>
        <v>#N/A</v>
      </c>
      <c r="P278" s="439"/>
    </row>
    <row r="279" spans="1:16" x14ac:dyDescent="0.25">
      <c r="A279" s="439" t="str">
        <f t="shared" si="4"/>
        <v>308001210_Result</v>
      </c>
      <c r="B279" s="1015" t="s">
        <v>1244</v>
      </c>
      <c r="C279" s="800" t="s">
        <v>1245</v>
      </c>
      <c r="D279" s="824" t="s">
        <v>1129</v>
      </c>
      <c r="E279" s="822"/>
      <c r="F279" s="980"/>
      <c r="G279" s="980">
        <v>-73767.922000000006</v>
      </c>
      <c r="H279" s="980">
        <v>-148025.511</v>
      </c>
      <c r="I279" s="980"/>
      <c r="J279" s="980">
        <v>-224484.27600000001</v>
      </c>
      <c r="K279" s="980">
        <v>-224484.27600000001</v>
      </c>
      <c r="L279" s="983"/>
      <c r="M279" s="439"/>
      <c r="N279" t="e">
        <f>VLOOKUP(A279, 'P&amp;L'!A:B,1,FALSE)</f>
        <v>#N/A</v>
      </c>
      <c r="O279" t="e">
        <f>VLOOKUP(A279, KeyData!A:C,1,FALSE)</f>
        <v>#N/A</v>
      </c>
      <c r="P279" s="439"/>
    </row>
    <row r="280" spans="1:16" x14ac:dyDescent="0.25">
      <c r="A280" s="439" t="str">
        <f t="shared" si="4"/>
        <v>308001250_#</v>
      </c>
      <c r="B280" s="1015" t="s">
        <v>1246</v>
      </c>
      <c r="C280" s="800" t="s">
        <v>1247</v>
      </c>
      <c r="D280" s="794" t="s">
        <v>1215</v>
      </c>
      <c r="E280" s="794" t="s">
        <v>1216</v>
      </c>
      <c r="F280" s="979"/>
      <c r="G280" s="979">
        <v>-64941.311999999998</v>
      </c>
      <c r="H280" s="979">
        <v>-72296.997000000003</v>
      </c>
      <c r="I280" s="979"/>
      <c r="J280" s="979">
        <v>-110715.484</v>
      </c>
      <c r="K280" s="979">
        <v>-110715.484</v>
      </c>
      <c r="L280" s="982"/>
      <c r="M280" s="439"/>
      <c r="N280" t="e">
        <f>VLOOKUP(A280, 'P&amp;L'!A:B,1,FALSE)</f>
        <v>#N/A</v>
      </c>
      <c r="O280" t="e">
        <f>VLOOKUP(A280, KeyData!A:C,1,FALSE)</f>
        <v>#N/A</v>
      </c>
      <c r="P280" s="439"/>
    </row>
    <row r="281" spans="1:16" x14ac:dyDescent="0.25">
      <c r="A281" s="439" t="str">
        <f t="shared" si="4"/>
        <v>308001250_Result</v>
      </c>
      <c r="B281" s="1015" t="s">
        <v>1246</v>
      </c>
      <c r="C281" s="800" t="s">
        <v>1247</v>
      </c>
      <c r="D281" s="824" t="s">
        <v>1129</v>
      </c>
      <c r="E281" s="822"/>
      <c r="F281" s="980"/>
      <c r="G281" s="980">
        <v>-64941.311999999998</v>
      </c>
      <c r="H281" s="980">
        <v>-72296.997000000003</v>
      </c>
      <c r="I281" s="980"/>
      <c r="J281" s="980">
        <v>-110715.484</v>
      </c>
      <c r="K281" s="980">
        <v>-110715.484</v>
      </c>
      <c r="L281" s="983"/>
      <c r="M281" s="439"/>
      <c r="N281" t="e">
        <f>VLOOKUP(A281, 'P&amp;L'!A:B,1,FALSE)</f>
        <v>#N/A</v>
      </c>
      <c r="O281" t="e">
        <f>VLOOKUP(A281, KeyData!A:C,1,FALSE)</f>
        <v>#N/A</v>
      </c>
      <c r="P281" s="439"/>
    </row>
    <row r="282" spans="1:16" x14ac:dyDescent="0.25">
      <c r="A282" s="439" t="str">
        <f t="shared" si="4"/>
        <v>308001600_#</v>
      </c>
      <c r="B282" s="1013" t="s">
        <v>1248</v>
      </c>
      <c r="C282" s="800" t="s">
        <v>1249</v>
      </c>
      <c r="D282" s="794" t="s">
        <v>1215</v>
      </c>
      <c r="E282" s="794" t="s">
        <v>1216</v>
      </c>
      <c r="F282" s="979"/>
      <c r="G282" s="979">
        <v>51189.49</v>
      </c>
      <c r="H282" s="979">
        <v>-34993.847999999998</v>
      </c>
      <c r="I282" s="979"/>
      <c r="J282" s="979">
        <v>-67758.448000000004</v>
      </c>
      <c r="K282" s="979">
        <v>-67758.448000000004</v>
      </c>
      <c r="L282" s="982"/>
      <c r="M282" s="439"/>
      <c r="N282" t="e">
        <f>VLOOKUP(A282, 'P&amp;L'!A:B,1,FALSE)</f>
        <v>#N/A</v>
      </c>
      <c r="O282" t="e">
        <f>VLOOKUP(A282, KeyData!A:C,1,FALSE)</f>
        <v>#N/A</v>
      </c>
      <c r="P282" s="439"/>
    </row>
    <row r="283" spans="1:16" x14ac:dyDescent="0.25">
      <c r="A283" s="439" t="str">
        <f t="shared" si="4"/>
        <v>308001600_Result</v>
      </c>
      <c r="B283" s="1013" t="s">
        <v>1248</v>
      </c>
      <c r="C283" s="800" t="s">
        <v>1249</v>
      </c>
      <c r="D283" s="824" t="s">
        <v>1129</v>
      </c>
      <c r="E283" s="822"/>
      <c r="F283" s="980"/>
      <c r="G283" s="980">
        <v>51189.49</v>
      </c>
      <c r="H283" s="980">
        <v>-34993.847999999998</v>
      </c>
      <c r="I283" s="980"/>
      <c r="J283" s="980">
        <v>-67758.448000000004</v>
      </c>
      <c r="K283" s="980">
        <v>-67758.448000000004</v>
      </c>
      <c r="L283" s="983"/>
      <c r="M283" s="439"/>
      <c r="N283" t="str">
        <f>VLOOKUP(A283, 'P&amp;L'!A:B,1,FALSE)</f>
        <v>308001600_Result</v>
      </c>
      <c r="O283" t="e">
        <f>VLOOKUP(A283, KeyData!A:C,1,FALSE)</f>
        <v>#N/A</v>
      </c>
      <c r="P283" s="439"/>
    </row>
    <row r="284" spans="1:16" x14ac:dyDescent="0.25">
      <c r="A284" s="439" t="str">
        <f t="shared" si="4"/>
        <v>308002100_#</v>
      </c>
      <c r="B284" s="1013" t="s">
        <v>1250</v>
      </c>
      <c r="C284" s="800" t="s">
        <v>1251</v>
      </c>
      <c r="D284" s="794" t="s">
        <v>1215</v>
      </c>
      <c r="E284" s="794" t="s">
        <v>1216</v>
      </c>
      <c r="F284" s="979"/>
      <c r="G284" s="979">
        <v>-25363.703000000001</v>
      </c>
      <c r="H284" s="979">
        <v>940.35900000000004</v>
      </c>
      <c r="I284" s="979"/>
      <c r="J284" s="979">
        <v>935.70899999999995</v>
      </c>
      <c r="K284" s="979">
        <v>935.70899999999995</v>
      </c>
      <c r="L284" s="982"/>
      <c r="M284" s="439"/>
      <c r="N284" t="e">
        <f>VLOOKUP(A284, 'P&amp;L'!A:B,1,FALSE)</f>
        <v>#N/A</v>
      </c>
      <c r="O284" t="e">
        <f>VLOOKUP(A284, KeyData!A:C,1,FALSE)</f>
        <v>#N/A</v>
      </c>
      <c r="P284" s="439"/>
    </row>
    <row r="285" spans="1:16" x14ac:dyDescent="0.25">
      <c r="A285" s="439" t="str">
        <f t="shared" si="4"/>
        <v>308002100_Result</v>
      </c>
      <c r="B285" s="1013" t="s">
        <v>1250</v>
      </c>
      <c r="C285" s="800" t="s">
        <v>1251</v>
      </c>
      <c r="D285" s="824" t="s">
        <v>1129</v>
      </c>
      <c r="E285" s="822"/>
      <c r="F285" s="980"/>
      <c r="G285" s="980">
        <v>-25363.703000000001</v>
      </c>
      <c r="H285" s="980">
        <v>940.35900000000004</v>
      </c>
      <c r="I285" s="980"/>
      <c r="J285" s="980">
        <v>935.70899999999995</v>
      </c>
      <c r="K285" s="980">
        <v>935.70899999999995</v>
      </c>
      <c r="L285" s="983"/>
      <c r="M285" s="439"/>
      <c r="N285" t="str">
        <f>VLOOKUP(A285, 'P&amp;L'!A:B,1,FALSE)</f>
        <v>308002100_Result</v>
      </c>
      <c r="O285" t="e">
        <f>VLOOKUP(A285, KeyData!A:C,1,FALSE)</f>
        <v>#N/A</v>
      </c>
      <c r="P285" s="439"/>
    </row>
    <row r="286" spans="1:16" x14ac:dyDescent="0.25">
      <c r="A286" s="439" t="str">
        <f t="shared" si="4"/>
        <v>308500000_#</v>
      </c>
      <c r="B286" s="1012" t="s">
        <v>1252</v>
      </c>
      <c r="C286" s="800" t="s">
        <v>1253</v>
      </c>
      <c r="D286" s="794" t="s">
        <v>1215</v>
      </c>
      <c r="E286" s="794" t="s">
        <v>1216</v>
      </c>
      <c r="F286" s="979"/>
      <c r="G286" s="979">
        <v>85673.337</v>
      </c>
      <c r="H286" s="979">
        <v>272730.99099999998</v>
      </c>
      <c r="I286" s="979">
        <v>-261409.109</v>
      </c>
      <c r="J286" s="979">
        <v>681558.27</v>
      </c>
      <c r="K286" s="979">
        <v>567467.60699999996</v>
      </c>
      <c r="L286" s="982">
        <v>-81112.085000000006</v>
      </c>
      <c r="M286" s="439"/>
      <c r="N286" t="e">
        <f>VLOOKUP(A286, 'P&amp;L'!A:B,1,FALSE)</f>
        <v>#N/A</v>
      </c>
      <c r="O286" t="e">
        <f>VLOOKUP(A286, KeyData!A:C,1,FALSE)</f>
        <v>#N/A</v>
      </c>
      <c r="P286" s="439"/>
    </row>
    <row r="287" spans="1:16" x14ac:dyDescent="0.25">
      <c r="A287" s="439" t="str">
        <f t="shared" si="4"/>
        <v>308500000_Result</v>
      </c>
      <c r="B287" s="1012" t="s">
        <v>1252</v>
      </c>
      <c r="C287" s="800" t="s">
        <v>1253</v>
      </c>
      <c r="D287" s="824" t="s">
        <v>1129</v>
      </c>
      <c r="E287" s="822"/>
      <c r="F287" s="980"/>
      <c r="G287" s="980">
        <v>85673.337</v>
      </c>
      <c r="H287" s="980">
        <v>272730.99099999998</v>
      </c>
      <c r="I287" s="980">
        <v>-261409.109</v>
      </c>
      <c r="J287" s="980">
        <v>681558.27</v>
      </c>
      <c r="K287" s="980">
        <v>567467.60699999996</v>
      </c>
      <c r="L287" s="983">
        <v>-81112.085000000006</v>
      </c>
      <c r="M287" s="439"/>
      <c r="N287" t="str">
        <f>VLOOKUP(A287, 'P&amp;L'!A:B,1,FALSE)</f>
        <v>308500000_Result</v>
      </c>
      <c r="O287" t="e">
        <f>VLOOKUP(A287, KeyData!A:C,1,FALSE)</f>
        <v>#N/A</v>
      </c>
      <c r="P287" s="439"/>
    </row>
    <row r="288" spans="1:16" x14ac:dyDescent="0.25">
      <c r="A288" s="439" t="str">
        <f t="shared" si="4"/>
        <v>309500000_#</v>
      </c>
      <c r="B288" s="1014" t="s">
        <v>1254</v>
      </c>
      <c r="C288" s="800" t="s">
        <v>1255</v>
      </c>
      <c r="D288" s="794" t="s">
        <v>1215</v>
      </c>
      <c r="E288" s="794" t="s">
        <v>1216</v>
      </c>
      <c r="F288" s="979"/>
      <c r="G288" s="979">
        <v>85673.337</v>
      </c>
      <c r="H288" s="979">
        <v>272730.99099999998</v>
      </c>
      <c r="I288" s="979">
        <v>-261409.109</v>
      </c>
      <c r="J288" s="979">
        <v>681558.27</v>
      </c>
      <c r="K288" s="979">
        <v>567467.60699999996</v>
      </c>
      <c r="L288" s="982">
        <v>-81112.085000000006</v>
      </c>
      <c r="M288" s="439"/>
      <c r="N288" t="e">
        <f>VLOOKUP(A288, 'P&amp;L'!A:B,1,FALSE)</f>
        <v>#N/A</v>
      </c>
      <c r="O288" t="e">
        <f>VLOOKUP(A288, KeyData!A:C,1,FALSE)</f>
        <v>#N/A</v>
      </c>
      <c r="P288" s="439"/>
    </row>
    <row r="289" spans="1:16" x14ac:dyDescent="0.25">
      <c r="A289" s="439" t="str">
        <f t="shared" si="4"/>
        <v>309500000_Result</v>
      </c>
      <c r="B289" s="1014" t="s">
        <v>1254</v>
      </c>
      <c r="C289" s="800" t="s">
        <v>1255</v>
      </c>
      <c r="D289" s="824" t="s">
        <v>1129</v>
      </c>
      <c r="E289" s="822"/>
      <c r="F289" s="980"/>
      <c r="G289" s="980">
        <v>85673.337</v>
      </c>
      <c r="H289" s="980">
        <v>272730.99099999998</v>
      </c>
      <c r="I289" s="980">
        <v>-261409.109</v>
      </c>
      <c r="J289" s="980">
        <v>681558.27</v>
      </c>
      <c r="K289" s="980">
        <v>567467.60699999996</v>
      </c>
      <c r="L289" s="983">
        <v>-81112.085000000006</v>
      </c>
      <c r="M289" s="439"/>
      <c r="N289" t="e">
        <f>VLOOKUP(A289, 'P&amp;L'!A:B,1,FALSE)</f>
        <v>#N/A</v>
      </c>
      <c r="O289" t="e">
        <f>VLOOKUP(A289, KeyData!A:C,1,FALSE)</f>
        <v>#N/A</v>
      </c>
      <c r="P289" s="439"/>
    </row>
    <row r="290" spans="1:16" x14ac:dyDescent="0.25">
      <c r="A290" s="439" t="str">
        <f t="shared" si="4"/>
        <v>309501110_#</v>
      </c>
      <c r="B290" s="1015" t="s">
        <v>1256</v>
      </c>
      <c r="C290" s="800" t="s">
        <v>1257</v>
      </c>
      <c r="D290" s="794" t="s">
        <v>1215</v>
      </c>
      <c r="E290" s="794" t="s">
        <v>1216</v>
      </c>
      <c r="F290" s="979"/>
      <c r="G290" s="979">
        <v>14620.174000000001</v>
      </c>
      <c r="H290" s="979">
        <v>363796.36099999998</v>
      </c>
      <c r="I290" s="979"/>
      <c r="J290" s="979">
        <v>736052.76599999995</v>
      </c>
      <c r="K290" s="979">
        <v>829475.86100000003</v>
      </c>
      <c r="L290" s="982"/>
      <c r="M290" s="439"/>
      <c r="N290" t="e">
        <f>VLOOKUP(A290, 'P&amp;L'!A:B,1,FALSE)</f>
        <v>#N/A</v>
      </c>
      <c r="O290" t="e">
        <f>VLOOKUP(A290, KeyData!A:C,1,FALSE)</f>
        <v>#N/A</v>
      </c>
      <c r="P290" s="439"/>
    </row>
    <row r="291" spans="1:16" x14ac:dyDescent="0.25">
      <c r="A291" s="439" t="str">
        <f t="shared" si="4"/>
        <v>309501110_Result</v>
      </c>
      <c r="B291" s="1015" t="s">
        <v>1256</v>
      </c>
      <c r="C291" s="800" t="s">
        <v>1257</v>
      </c>
      <c r="D291" s="824" t="s">
        <v>1129</v>
      </c>
      <c r="E291" s="822"/>
      <c r="F291" s="980"/>
      <c r="G291" s="980">
        <v>14620.174000000001</v>
      </c>
      <c r="H291" s="980">
        <v>363796.36099999998</v>
      </c>
      <c r="I291" s="980"/>
      <c r="J291" s="980">
        <v>736052.76599999995</v>
      </c>
      <c r="K291" s="980">
        <v>829475.86100000003</v>
      </c>
      <c r="L291" s="983"/>
      <c r="M291" s="439"/>
      <c r="N291" t="str">
        <f>VLOOKUP(A291, 'P&amp;L'!A:B,1,FALSE)</f>
        <v>309501110_Result</v>
      </c>
      <c r="O291" t="e">
        <f>VLOOKUP(A291, KeyData!A:C,1,FALSE)</f>
        <v>#N/A</v>
      </c>
      <c r="P291" s="439"/>
    </row>
    <row r="292" spans="1:16" x14ac:dyDescent="0.25">
      <c r="A292" s="439" t="str">
        <f t="shared" si="4"/>
        <v>309501120_#</v>
      </c>
      <c r="B292" s="1015" t="s">
        <v>1258</v>
      </c>
      <c r="C292" s="800" t="s">
        <v>1257</v>
      </c>
      <c r="D292" s="794" t="s">
        <v>1215</v>
      </c>
      <c r="E292" s="794" t="s">
        <v>1216</v>
      </c>
      <c r="F292" s="979"/>
      <c r="G292" s="979">
        <v>5321.299</v>
      </c>
      <c r="H292" s="979">
        <v>83672.834000000003</v>
      </c>
      <c r="I292" s="979"/>
      <c r="J292" s="979">
        <v>146784.59099999999</v>
      </c>
      <c r="K292" s="979">
        <v>2989.2779999999998</v>
      </c>
      <c r="L292" s="982"/>
      <c r="M292" s="439"/>
      <c r="N292" t="e">
        <f>VLOOKUP(A292, 'P&amp;L'!A:B,1,FALSE)</f>
        <v>#N/A</v>
      </c>
      <c r="O292" t="e">
        <f>VLOOKUP(A292, KeyData!A:C,1,FALSE)</f>
        <v>#N/A</v>
      </c>
      <c r="P292" s="439"/>
    </row>
    <row r="293" spans="1:16" x14ac:dyDescent="0.25">
      <c r="A293" s="439" t="str">
        <f t="shared" si="4"/>
        <v>309501120_Result</v>
      </c>
      <c r="B293" s="1015" t="s">
        <v>1258</v>
      </c>
      <c r="C293" s="800" t="s">
        <v>1257</v>
      </c>
      <c r="D293" s="824" t="s">
        <v>1129</v>
      </c>
      <c r="E293" s="822"/>
      <c r="F293" s="980"/>
      <c r="G293" s="980">
        <v>5321.299</v>
      </c>
      <c r="H293" s="980">
        <v>83672.834000000003</v>
      </c>
      <c r="I293" s="980"/>
      <c r="J293" s="980">
        <v>146784.59099999999</v>
      </c>
      <c r="K293" s="980">
        <v>2989.2779999999998</v>
      </c>
      <c r="L293" s="983"/>
      <c r="M293" s="439"/>
      <c r="N293" t="str">
        <f>VLOOKUP(A293, 'P&amp;L'!A:B,1,FALSE)</f>
        <v>309501120_Result</v>
      </c>
      <c r="O293" t="e">
        <f>VLOOKUP(A293, KeyData!A:C,1,FALSE)</f>
        <v>#N/A</v>
      </c>
      <c r="P293" s="439"/>
    </row>
    <row r="294" spans="1:16" x14ac:dyDescent="0.25">
      <c r="A294" s="439" t="str">
        <f t="shared" si="4"/>
        <v>309501610_#</v>
      </c>
      <c r="B294" s="1015" t="s">
        <v>1259</v>
      </c>
      <c r="C294" s="800" t="s">
        <v>1260</v>
      </c>
      <c r="D294" s="794" t="s">
        <v>1215</v>
      </c>
      <c r="E294" s="794" t="s">
        <v>1216</v>
      </c>
      <c r="F294" s="979"/>
      <c r="G294" s="979">
        <v>195496.17199999999</v>
      </c>
      <c r="H294" s="979">
        <v>39957.86</v>
      </c>
      <c r="I294" s="979"/>
      <c r="J294" s="979">
        <v>65187.77</v>
      </c>
      <c r="K294" s="979">
        <v>65187.77</v>
      </c>
      <c r="L294" s="982"/>
      <c r="M294" s="439"/>
      <c r="N294" t="e">
        <f>VLOOKUP(A294, 'P&amp;L'!A:B,1,FALSE)</f>
        <v>#N/A</v>
      </c>
      <c r="O294" t="e">
        <f>VLOOKUP(A294, KeyData!A:C,1,FALSE)</f>
        <v>#N/A</v>
      </c>
      <c r="P294" s="439"/>
    </row>
    <row r="295" spans="1:16" x14ac:dyDescent="0.25">
      <c r="A295" s="439" t="str">
        <f t="shared" si="4"/>
        <v>309501610_Result</v>
      </c>
      <c r="B295" s="1015" t="s">
        <v>1259</v>
      </c>
      <c r="C295" s="800" t="s">
        <v>1260</v>
      </c>
      <c r="D295" s="824" t="s">
        <v>1129</v>
      </c>
      <c r="E295" s="822"/>
      <c r="F295" s="980"/>
      <c r="G295" s="980">
        <v>195496.17199999999</v>
      </c>
      <c r="H295" s="980">
        <v>39957.86</v>
      </c>
      <c r="I295" s="980"/>
      <c r="J295" s="980">
        <v>65187.77</v>
      </c>
      <c r="K295" s="980">
        <v>65187.77</v>
      </c>
      <c r="L295" s="983"/>
      <c r="M295" s="439"/>
      <c r="N295" t="str">
        <f>VLOOKUP(A295, 'P&amp;L'!A:B,1,FALSE)</f>
        <v>309501610_Result</v>
      </c>
      <c r="O295" t="e">
        <f>VLOOKUP(A295, KeyData!A:C,1,FALSE)</f>
        <v>#N/A</v>
      </c>
      <c r="P295" s="439"/>
    </row>
    <row r="296" spans="1:16" x14ac:dyDescent="0.25">
      <c r="A296" s="439" t="str">
        <f t="shared" si="4"/>
        <v>309501620_#</v>
      </c>
      <c r="B296" s="1015" t="s">
        <v>1261</v>
      </c>
      <c r="C296" s="800" t="s">
        <v>1262</v>
      </c>
      <c r="D296" s="794" t="s">
        <v>1215</v>
      </c>
      <c r="E296" s="794" t="s">
        <v>1216</v>
      </c>
      <c r="F296" s="979"/>
      <c r="G296" s="979">
        <v>2860.5309999999999</v>
      </c>
      <c r="H296" s="979">
        <v>-138431.272</v>
      </c>
      <c r="I296" s="979"/>
      <c r="J296" s="979">
        <v>-97639.558000000005</v>
      </c>
      <c r="K296" s="979">
        <v>-97639.558000000005</v>
      </c>
      <c r="L296" s="982"/>
      <c r="M296" s="439"/>
      <c r="N296" t="e">
        <f>VLOOKUP(A296, 'P&amp;L'!A:B,1,FALSE)</f>
        <v>#N/A</v>
      </c>
      <c r="O296" t="e">
        <f>VLOOKUP(A296, KeyData!A:C,1,FALSE)</f>
        <v>#N/A</v>
      </c>
      <c r="P296" s="439"/>
    </row>
    <row r="297" spans="1:16" x14ac:dyDescent="0.25">
      <c r="A297" s="439" t="str">
        <f t="shared" si="4"/>
        <v>309501620_Result</v>
      </c>
      <c r="B297" s="1015" t="s">
        <v>1261</v>
      </c>
      <c r="C297" s="800" t="s">
        <v>1262</v>
      </c>
      <c r="D297" s="824" t="s">
        <v>1129</v>
      </c>
      <c r="E297" s="822"/>
      <c r="F297" s="980"/>
      <c r="G297" s="980">
        <v>2860.5309999999999</v>
      </c>
      <c r="H297" s="980">
        <v>-138431.272</v>
      </c>
      <c r="I297" s="980"/>
      <c r="J297" s="980">
        <v>-97639.558000000005</v>
      </c>
      <c r="K297" s="980">
        <v>-97639.558000000005</v>
      </c>
      <c r="L297" s="983"/>
      <c r="M297" s="439"/>
      <c r="N297" t="str">
        <f>VLOOKUP(A297, 'P&amp;L'!A:B,1,FALSE)</f>
        <v>309501620_Result</v>
      </c>
      <c r="O297" t="e">
        <f>VLOOKUP(A297, KeyData!A:C,1,FALSE)</f>
        <v>#N/A</v>
      </c>
      <c r="P297" s="439"/>
    </row>
    <row r="298" spans="1:16" x14ac:dyDescent="0.25">
      <c r="A298" s="439" t="str">
        <f t="shared" si="4"/>
        <v>309501630_#</v>
      </c>
      <c r="B298" s="1015" t="s">
        <v>1263</v>
      </c>
      <c r="C298" s="800" t="s">
        <v>1264</v>
      </c>
      <c r="D298" s="794" t="s">
        <v>1215</v>
      </c>
      <c r="E298" s="794" t="s">
        <v>1216</v>
      </c>
      <c r="F298" s="979"/>
      <c r="G298" s="979">
        <v>-7644.4359999999997</v>
      </c>
      <c r="H298" s="979">
        <v>-7680.5050000000001</v>
      </c>
      <c r="I298" s="979"/>
      <c r="J298" s="979"/>
      <c r="K298" s="979"/>
      <c r="L298" s="982"/>
      <c r="M298" s="439"/>
      <c r="N298" t="e">
        <f>VLOOKUP(A298, 'P&amp;L'!A:B,1,FALSE)</f>
        <v>#N/A</v>
      </c>
      <c r="O298" t="e">
        <f>VLOOKUP(A298, KeyData!A:C,1,FALSE)</f>
        <v>#N/A</v>
      </c>
      <c r="P298" s="439"/>
    </row>
    <row r="299" spans="1:16" x14ac:dyDescent="0.25">
      <c r="A299" s="439" t="str">
        <f t="shared" si="4"/>
        <v>309501630_Result</v>
      </c>
      <c r="B299" s="1015" t="s">
        <v>1263</v>
      </c>
      <c r="C299" s="800" t="s">
        <v>1264</v>
      </c>
      <c r="D299" s="824" t="s">
        <v>1129</v>
      </c>
      <c r="E299" s="822"/>
      <c r="F299" s="980"/>
      <c r="G299" s="980">
        <v>-7644.4359999999997</v>
      </c>
      <c r="H299" s="980">
        <v>-7680.5050000000001</v>
      </c>
      <c r="I299" s="980"/>
      <c r="J299" s="980"/>
      <c r="K299" s="980"/>
      <c r="L299" s="983"/>
      <c r="M299" s="439"/>
      <c r="N299" t="str">
        <f>VLOOKUP(A299, 'P&amp;L'!A:B,1,FALSE)</f>
        <v>309501630_Result</v>
      </c>
      <c r="O299" t="e">
        <f>VLOOKUP(A299, KeyData!A:C,1,FALSE)</f>
        <v>#N/A</v>
      </c>
      <c r="P299" s="439"/>
    </row>
    <row r="300" spans="1:16" x14ac:dyDescent="0.25">
      <c r="A300" s="439" t="str">
        <f t="shared" si="4"/>
        <v>309501640_#</v>
      </c>
      <c r="B300" s="1015" t="s">
        <v>1265</v>
      </c>
      <c r="C300" s="800" t="s">
        <v>1266</v>
      </c>
      <c r="D300" s="794" t="s">
        <v>1215</v>
      </c>
      <c r="E300" s="794" t="s">
        <v>1216</v>
      </c>
      <c r="F300" s="979"/>
      <c r="G300" s="979">
        <v>-38969.67</v>
      </c>
      <c r="H300" s="979">
        <v>-36302.008000000002</v>
      </c>
      <c r="I300" s="979"/>
      <c r="J300" s="979">
        <v>-56104.487000000001</v>
      </c>
      <c r="K300" s="979">
        <v>-18615.346000000001</v>
      </c>
      <c r="L300" s="982"/>
      <c r="M300" s="439"/>
      <c r="N300" t="e">
        <f>VLOOKUP(A300, 'P&amp;L'!A:B,1,FALSE)</f>
        <v>#N/A</v>
      </c>
      <c r="O300" t="e">
        <f>VLOOKUP(A300, KeyData!A:C,1,FALSE)</f>
        <v>#N/A</v>
      </c>
      <c r="P300" s="439"/>
    </row>
    <row r="301" spans="1:16" x14ac:dyDescent="0.25">
      <c r="A301" s="439" t="str">
        <f t="shared" si="4"/>
        <v>309501640_Result</v>
      </c>
      <c r="B301" s="1015" t="s">
        <v>1265</v>
      </c>
      <c r="C301" s="800" t="s">
        <v>1266</v>
      </c>
      <c r="D301" s="824" t="s">
        <v>1129</v>
      </c>
      <c r="E301" s="822"/>
      <c r="F301" s="980"/>
      <c r="G301" s="980">
        <v>-38969.67</v>
      </c>
      <c r="H301" s="980">
        <v>-36302.008000000002</v>
      </c>
      <c r="I301" s="980"/>
      <c r="J301" s="980">
        <v>-56104.487000000001</v>
      </c>
      <c r="K301" s="980">
        <v>-18615.346000000001</v>
      </c>
      <c r="L301" s="983"/>
      <c r="M301" s="439"/>
      <c r="N301" t="str">
        <f>VLOOKUP(A301, 'P&amp;L'!A:B,1,FALSE)</f>
        <v>309501640_Result</v>
      </c>
      <c r="O301" t="e">
        <f>VLOOKUP(A301, KeyData!A:C,1,FALSE)</f>
        <v>#N/A</v>
      </c>
      <c r="P301" s="439"/>
    </row>
    <row r="302" spans="1:16" x14ac:dyDescent="0.25">
      <c r="A302" s="439" t="str">
        <f t="shared" si="4"/>
        <v>309501650_#</v>
      </c>
      <c r="B302" s="1015" t="s">
        <v>1267</v>
      </c>
      <c r="C302" s="800" t="s">
        <v>1268</v>
      </c>
      <c r="D302" s="794" t="s">
        <v>1215</v>
      </c>
      <c r="E302" s="794" t="s">
        <v>1216</v>
      </c>
      <c r="F302" s="979"/>
      <c r="G302" s="979">
        <v>-1247.645</v>
      </c>
      <c r="H302" s="979">
        <v>72.27</v>
      </c>
      <c r="I302" s="979"/>
      <c r="J302" s="979"/>
      <c r="K302" s="979"/>
      <c r="L302" s="982"/>
      <c r="M302" s="439"/>
      <c r="N302" t="e">
        <f>VLOOKUP(A302, 'P&amp;L'!A:B,1,FALSE)</f>
        <v>#N/A</v>
      </c>
      <c r="O302" t="e">
        <f>VLOOKUP(A302, KeyData!A:C,1,FALSE)</f>
        <v>#N/A</v>
      </c>
      <c r="P302" s="439"/>
    </row>
    <row r="303" spans="1:16" x14ac:dyDescent="0.25">
      <c r="A303" s="439" t="str">
        <f t="shared" si="4"/>
        <v>309501650_Result</v>
      </c>
      <c r="B303" s="1015" t="s">
        <v>1267</v>
      </c>
      <c r="C303" s="800" t="s">
        <v>1268</v>
      </c>
      <c r="D303" s="824" t="s">
        <v>1129</v>
      </c>
      <c r="E303" s="822"/>
      <c r="F303" s="980"/>
      <c r="G303" s="980">
        <v>-1247.645</v>
      </c>
      <c r="H303" s="980">
        <v>72.27</v>
      </c>
      <c r="I303" s="980"/>
      <c r="J303" s="980"/>
      <c r="K303" s="980"/>
      <c r="L303" s="983"/>
      <c r="M303" s="439"/>
      <c r="N303" t="str">
        <f>VLOOKUP(A303, 'P&amp;L'!A:B,1,FALSE)</f>
        <v>309501650_Result</v>
      </c>
      <c r="O303" t="e">
        <f>VLOOKUP(A303, KeyData!A:C,1,FALSE)</f>
        <v>#N/A</v>
      </c>
      <c r="P303" s="439"/>
    </row>
    <row r="304" spans="1:16" x14ac:dyDescent="0.25">
      <c r="A304" s="439" t="str">
        <f t="shared" si="4"/>
        <v>309502100_#</v>
      </c>
      <c r="B304" s="1015" t="s">
        <v>1269</v>
      </c>
      <c r="C304" s="800" t="s">
        <v>1270</v>
      </c>
      <c r="D304" s="794" t="s">
        <v>1215</v>
      </c>
      <c r="E304" s="794" t="s">
        <v>1216</v>
      </c>
      <c r="F304" s="979"/>
      <c r="G304" s="979">
        <v>-17122.971000000001</v>
      </c>
      <c r="H304" s="979">
        <v>11870.8</v>
      </c>
      <c r="I304" s="979"/>
      <c r="J304" s="979"/>
      <c r="K304" s="979">
        <v>11870.8</v>
      </c>
      <c r="L304" s="982"/>
      <c r="M304" s="439"/>
      <c r="N304" t="e">
        <f>VLOOKUP(A304, 'P&amp;L'!A:B,1,FALSE)</f>
        <v>#N/A</v>
      </c>
      <c r="O304" t="e">
        <f>VLOOKUP(A304, KeyData!A:C,1,FALSE)</f>
        <v>#N/A</v>
      </c>
      <c r="P304" s="439"/>
    </row>
    <row r="305" spans="1:16" x14ac:dyDescent="0.25">
      <c r="A305" s="439" t="str">
        <f t="shared" si="4"/>
        <v>309502100_Result</v>
      </c>
      <c r="B305" s="1015" t="s">
        <v>1269</v>
      </c>
      <c r="C305" s="800" t="s">
        <v>1270</v>
      </c>
      <c r="D305" s="824" t="s">
        <v>1129</v>
      </c>
      <c r="E305" s="822"/>
      <c r="F305" s="980"/>
      <c r="G305" s="980">
        <v>-17122.971000000001</v>
      </c>
      <c r="H305" s="980">
        <v>11870.8</v>
      </c>
      <c r="I305" s="980"/>
      <c r="J305" s="980"/>
      <c r="K305" s="980">
        <v>11870.8</v>
      </c>
      <c r="L305" s="983"/>
      <c r="M305" s="439"/>
      <c r="N305" t="str">
        <f>VLOOKUP(A305, 'P&amp;L'!A:B,1,FALSE)</f>
        <v>309502100_Result</v>
      </c>
      <c r="O305" t="e">
        <f>VLOOKUP(A305, KeyData!A:C,1,FALSE)</f>
        <v>#N/A</v>
      </c>
      <c r="P305" s="439"/>
    </row>
    <row r="306" spans="1:16" x14ac:dyDescent="0.25">
      <c r="A306" s="439" t="str">
        <f t="shared" si="4"/>
        <v>309503100_#</v>
      </c>
      <c r="B306" s="1015" t="s">
        <v>1271</v>
      </c>
      <c r="C306" s="800" t="s">
        <v>1272</v>
      </c>
      <c r="D306" s="794" t="s">
        <v>1215</v>
      </c>
      <c r="E306" s="794" t="s">
        <v>1216</v>
      </c>
      <c r="F306" s="979"/>
      <c r="G306" s="979">
        <v>12295.48</v>
      </c>
      <c r="H306" s="979">
        <v>-34169.339999999997</v>
      </c>
      <c r="I306" s="979">
        <v>-221539.109</v>
      </c>
      <c r="J306" s="979">
        <v>-174383.08100000001</v>
      </c>
      <c r="K306" s="979">
        <v>-187369.769</v>
      </c>
      <c r="L306" s="982">
        <v>-81112.085000000006</v>
      </c>
      <c r="M306" s="439"/>
      <c r="N306" t="e">
        <f>VLOOKUP(A306, 'P&amp;L'!A:B,1,FALSE)</f>
        <v>#N/A</v>
      </c>
      <c r="O306" t="e">
        <f>VLOOKUP(A306, KeyData!A:C,1,FALSE)</f>
        <v>#N/A</v>
      </c>
      <c r="P306" s="439"/>
    </row>
    <row r="307" spans="1:16" x14ac:dyDescent="0.25">
      <c r="A307" s="439" t="str">
        <f t="shared" si="4"/>
        <v>309503100_Result</v>
      </c>
      <c r="B307" s="1015" t="s">
        <v>1271</v>
      </c>
      <c r="C307" s="800" t="s">
        <v>1272</v>
      </c>
      <c r="D307" s="824" t="s">
        <v>1129</v>
      </c>
      <c r="E307" s="822"/>
      <c r="F307" s="980"/>
      <c r="G307" s="980">
        <v>12295.48</v>
      </c>
      <c r="H307" s="980">
        <v>-34169.339999999997</v>
      </c>
      <c r="I307" s="980">
        <v>-221539.109</v>
      </c>
      <c r="J307" s="980">
        <v>-174383.08100000001</v>
      </c>
      <c r="K307" s="980">
        <v>-187369.769</v>
      </c>
      <c r="L307" s="983">
        <v>-81112.085000000006</v>
      </c>
      <c r="M307" s="439"/>
      <c r="N307" t="str">
        <f>VLOOKUP(A307, 'P&amp;L'!A:B,1,FALSE)</f>
        <v>309503100_Result</v>
      </c>
      <c r="O307" t="e">
        <f>VLOOKUP(A307, KeyData!A:C,1,FALSE)</f>
        <v>#N/A</v>
      </c>
      <c r="P307" s="439"/>
    </row>
    <row r="308" spans="1:16" x14ac:dyDescent="0.25">
      <c r="A308" s="439" t="str">
        <f t="shared" si="4"/>
        <v>309503600_#</v>
      </c>
      <c r="B308" s="1015" t="s">
        <v>1273</v>
      </c>
      <c r="C308" s="800" t="s">
        <v>1274</v>
      </c>
      <c r="D308" s="794" t="s">
        <v>1215</v>
      </c>
      <c r="E308" s="794" t="s">
        <v>1216</v>
      </c>
      <c r="F308" s="979"/>
      <c r="G308" s="979">
        <v>21137.473999999998</v>
      </c>
      <c r="H308" s="979">
        <v>-4308.7190000000001</v>
      </c>
      <c r="I308" s="979"/>
      <c r="J308" s="979">
        <v>957.55899999999997</v>
      </c>
      <c r="K308" s="979">
        <v>-4308.7190000000001</v>
      </c>
      <c r="L308" s="982"/>
      <c r="M308" s="439"/>
      <c r="N308" t="e">
        <f>VLOOKUP(A308, 'P&amp;L'!A:B,1,FALSE)</f>
        <v>#N/A</v>
      </c>
      <c r="O308" t="e">
        <f>VLOOKUP(A308, KeyData!A:C,1,FALSE)</f>
        <v>#N/A</v>
      </c>
      <c r="P308" s="439"/>
    </row>
    <row r="309" spans="1:16" x14ac:dyDescent="0.25">
      <c r="A309" s="439" t="str">
        <f t="shared" si="4"/>
        <v>309503600_Result</v>
      </c>
      <c r="B309" s="1015" t="s">
        <v>1273</v>
      </c>
      <c r="C309" s="800" t="s">
        <v>1274</v>
      </c>
      <c r="D309" s="824" t="s">
        <v>1129</v>
      </c>
      <c r="E309" s="822"/>
      <c r="F309" s="980"/>
      <c r="G309" s="980">
        <v>21137.473999999998</v>
      </c>
      <c r="H309" s="980">
        <v>-4308.7190000000001</v>
      </c>
      <c r="I309" s="980"/>
      <c r="J309" s="980">
        <v>957.55899999999997</v>
      </c>
      <c r="K309" s="980">
        <v>-4308.7190000000001</v>
      </c>
      <c r="L309" s="983"/>
      <c r="M309" s="439"/>
      <c r="N309" t="str">
        <f>VLOOKUP(A309, 'P&amp;L'!A:B,1,FALSE)</f>
        <v>309503600_Result</v>
      </c>
      <c r="O309" t="e">
        <f>VLOOKUP(A309, KeyData!A:C,1,FALSE)</f>
        <v>#N/A</v>
      </c>
      <c r="P309" s="439"/>
    </row>
    <row r="310" spans="1:16" x14ac:dyDescent="0.25">
      <c r="A310" s="439" t="str">
        <f t="shared" si="4"/>
        <v>309504100_#</v>
      </c>
      <c r="B310" s="1015" t="s">
        <v>1275</v>
      </c>
      <c r="C310" s="800" t="s">
        <v>1276</v>
      </c>
      <c r="D310" s="794" t="s">
        <v>1215</v>
      </c>
      <c r="E310" s="794" t="s">
        <v>1216</v>
      </c>
      <c r="F310" s="979"/>
      <c r="G310" s="979">
        <v>-101073.071</v>
      </c>
      <c r="H310" s="979">
        <v>-5747.29</v>
      </c>
      <c r="I310" s="979">
        <v>-39870</v>
      </c>
      <c r="J310" s="979">
        <v>60702.71</v>
      </c>
      <c r="K310" s="979">
        <v>-34122.71</v>
      </c>
      <c r="L310" s="982"/>
      <c r="M310" s="439"/>
      <c r="N310" t="e">
        <f>VLOOKUP(A310, 'P&amp;L'!A:B,1,FALSE)</f>
        <v>#N/A</v>
      </c>
      <c r="O310" t="e">
        <f>VLOOKUP(A310, KeyData!A:C,1,FALSE)</f>
        <v>#N/A</v>
      </c>
      <c r="P310" s="439"/>
    </row>
    <row r="311" spans="1:16" x14ac:dyDescent="0.25">
      <c r="A311" s="439" t="str">
        <f t="shared" si="4"/>
        <v>309504100_Result</v>
      </c>
      <c r="B311" s="1015" t="s">
        <v>1275</v>
      </c>
      <c r="C311" s="800" t="s">
        <v>1276</v>
      </c>
      <c r="D311" s="824" t="s">
        <v>1129</v>
      </c>
      <c r="E311" s="822"/>
      <c r="F311" s="980"/>
      <c r="G311" s="980">
        <v>-101073.071</v>
      </c>
      <c r="H311" s="980">
        <v>-5747.29</v>
      </c>
      <c r="I311" s="980">
        <v>-39870</v>
      </c>
      <c r="J311" s="980">
        <v>60702.71</v>
      </c>
      <c r="K311" s="980">
        <v>-34122.71</v>
      </c>
      <c r="L311" s="983"/>
      <c r="M311" s="439"/>
      <c r="N311" t="str">
        <f>VLOOKUP(A311, 'P&amp;L'!A:B,1,FALSE)</f>
        <v>309504100_Result</v>
      </c>
      <c r="O311" t="e">
        <f>VLOOKUP(A311, KeyData!A:C,1,FALSE)</f>
        <v>#N/A</v>
      </c>
      <c r="P311" s="439"/>
    </row>
    <row r="312" spans="1:16" x14ac:dyDescent="0.25">
      <c r="A312" s="439" t="str">
        <f t="shared" si="4"/>
        <v>310000000_#</v>
      </c>
      <c r="B312" s="1012" t="s">
        <v>1277</v>
      </c>
      <c r="C312" s="800" t="s">
        <v>1278</v>
      </c>
      <c r="D312" s="794" t="s">
        <v>1215</v>
      </c>
      <c r="E312" s="794" t="s">
        <v>1216</v>
      </c>
      <c r="F312" s="979"/>
      <c r="G312" s="979">
        <v>-188692.99600000001</v>
      </c>
      <c r="H312" s="979">
        <v>85540.873999999996</v>
      </c>
      <c r="I312" s="979">
        <v>-165436.85999999999</v>
      </c>
      <c r="J312" s="979">
        <v>224435.88399999999</v>
      </c>
      <c r="K312" s="979">
        <v>115086.606</v>
      </c>
      <c r="L312" s="982">
        <v>-175375.64799999999</v>
      </c>
      <c r="M312" s="439"/>
      <c r="N312" t="e">
        <f>VLOOKUP(A312, 'P&amp;L'!A:B,1,FALSE)</f>
        <v>#N/A</v>
      </c>
      <c r="O312" t="e">
        <f>VLOOKUP(A312, KeyData!A:C,1,FALSE)</f>
        <v>#N/A</v>
      </c>
      <c r="P312" s="439"/>
    </row>
    <row r="313" spans="1:16" x14ac:dyDescent="0.25">
      <c r="A313" s="439" t="str">
        <f t="shared" si="4"/>
        <v>310000000_Result</v>
      </c>
      <c r="B313" s="1012" t="s">
        <v>1277</v>
      </c>
      <c r="C313" s="800" t="s">
        <v>1278</v>
      </c>
      <c r="D313" s="824" t="s">
        <v>1129</v>
      </c>
      <c r="E313" s="822"/>
      <c r="F313" s="980"/>
      <c r="G313" s="980">
        <v>-188692.99600000001</v>
      </c>
      <c r="H313" s="980">
        <v>85540.873999999996</v>
      </c>
      <c r="I313" s="980">
        <v>-165436.85999999999</v>
      </c>
      <c r="J313" s="980">
        <v>224435.88399999999</v>
      </c>
      <c r="K313" s="980">
        <v>115086.606</v>
      </c>
      <c r="L313" s="983">
        <v>-175375.64799999999</v>
      </c>
      <c r="M313" s="439"/>
      <c r="N313" t="str">
        <f>VLOOKUP(A313, 'P&amp;L'!A:B,1,FALSE)</f>
        <v>310000000_Result</v>
      </c>
      <c r="O313" t="e">
        <f>VLOOKUP(A313, KeyData!A:C,1,FALSE)</f>
        <v>#N/A</v>
      </c>
      <c r="P313" s="439"/>
    </row>
    <row r="314" spans="1:16" x14ac:dyDescent="0.25">
      <c r="A314" s="439" t="str">
        <f t="shared" si="4"/>
        <v>310003100_#</v>
      </c>
      <c r="B314" s="1013" t="s">
        <v>1279</v>
      </c>
      <c r="C314" s="800" t="s">
        <v>1280</v>
      </c>
      <c r="D314" s="794" t="s">
        <v>1215</v>
      </c>
      <c r="E314" s="794" t="s">
        <v>1216</v>
      </c>
      <c r="F314" s="979"/>
      <c r="G314" s="979">
        <v>-62827.038</v>
      </c>
      <c r="H314" s="979">
        <v>-101225.7</v>
      </c>
      <c r="I314" s="979">
        <v>-165436.85999999999</v>
      </c>
      <c r="J314" s="979">
        <v>-81198.45</v>
      </c>
      <c r="K314" s="979">
        <v>-64211.16</v>
      </c>
      <c r="L314" s="982">
        <v>-175375.64799999999</v>
      </c>
      <c r="M314" s="439"/>
      <c r="N314" t="e">
        <f>VLOOKUP(A314, 'P&amp;L'!A:B,1,FALSE)</f>
        <v>#N/A</v>
      </c>
      <c r="O314" t="e">
        <f>VLOOKUP(A314, KeyData!A:C,1,FALSE)</f>
        <v>#N/A</v>
      </c>
      <c r="P314" s="439"/>
    </row>
    <row r="315" spans="1:16" x14ac:dyDescent="0.25">
      <c r="A315" s="439" t="str">
        <f t="shared" si="4"/>
        <v>310003100_Result</v>
      </c>
      <c r="B315" s="1013" t="s">
        <v>1279</v>
      </c>
      <c r="C315" s="800" t="s">
        <v>1280</v>
      </c>
      <c r="D315" s="824" t="s">
        <v>1129</v>
      </c>
      <c r="E315" s="822"/>
      <c r="F315" s="980"/>
      <c r="G315" s="980">
        <v>-62827.038</v>
      </c>
      <c r="H315" s="980">
        <v>-101225.7</v>
      </c>
      <c r="I315" s="980">
        <v>-165436.85999999999</v>
      </c>
      <c r="J315" s="980">
        <v>-81198.45</v>
      </c>
      <c r="K315" s="980">
        <v>-64211.16</v>
      </c>
      <c r="L315" s="983">
        <v>-175375.64799999999</v>
      </c>
      <c r="M315" s="439"/>
      <c r="N315" t="str">
        <f>VLOOKUP(A315, 'P&amp;L'!A:B,1,FALSE)</f>
        <v>310003100_Result</v>
      </c>
      <c r="O315" t="e">
        <f>VLOOKUP(A315, KeyData!A:C,1,FALSE)</f>
        <v>#N/A</v>
      </c>
      <c r="P315" s="439"/>
    </row>
    <row r="316" spans="1:16" x14ac:dyDescent="0.25">
      <c r="A316" s="439" t="str">
        <f t="shared" si="4"/>
        <v>310003600_#</v>
      </c>
      <c r="B316" s="1013" t="s">
        <v>1281</v>
      </c>
      <c r="C316" s="800" t="s">
        <v>1282</v>
      </c>
      <c r="D316" s="794" t="s">
        <v>1215</v>
      </c>
      <c r="E316" s="794" t="s">
        <v>1216</v>
      </c>
      <c r="F316" s="979"/>
      <c r="G316" s="979">
        <v>-58097.097999999998</v>
      </c>
      <c r="H316" s="979">
        <v>168293.54</v>
      </c>
      <c r="I316" s="979"/>
      <c r="J316" s="979">
        <v>285408.717</v>
      </c>
      <c r="K316" s="979">
        <v>280182.859</v>
      </c>
      <c r="L316" s="982"/>
      <c r="M316" s="439"/>
      <c r="N316" t="e">
        <f>VLOOKUP(A316, 'P&amp;L'!A:B,1,FALSE)</f>
        <v>#N/A</v>
      </c>
      <c r="O316" t="e">
        <f>VLOOKUP(A316, KeyData!A:C,1,FALSE)</f>
        <v>#N/A</v>
      </c>
      <c r="P316" s="439"/>
    </row>
    <row r="317" spans="1:16" x14ac:dyDescent="0.25">
      <c r="A317" s="439" t="str">
        <f t="shared" si="4"/>
        <v>310003600_Result</v>
      </c>
      <c r="B317" s="1013" t="s">
        <v>1281</v>
      </c>
      <c r="C317" s="800" t="s">
        <v>1282</v>
      </c>
      <c r="D317" s="824" t="s">
        <v>1129</v>
      </c>
      <c r="E317" s="822"/>
      <c r="F317" s="980"/>
      <c r="G317" s="980">
        <v>-58097.097999999998</v>
      </c>
      <c r="H317" s="980">
        <v>168293.54</v>
      </c>
      <c r="I317" s="980"/>
      <c r="J317" s="980">
        <v>285408.717</v>
      </c>
      <c r="K317" s="980">
        <v>280182.859</v>
      </c>
      <c r="L317" s="983"/>
      <c r="M317" s="439"/>
      <c r="N317" t="str">
        <f>VLOOKUP(A317, 'P&amp;L'!A:B,1,FALSE)</f>
        <v>310003600_Result</v>
      </c>
      <c r="O317" t="e">
        <f>VLOOKUP(A317, KeyData!A:C,1,FALSE)</f>
        <v>#N/A</v>
      </c>
      <c r="P317" s="439"/>
    </row>
    <row r="318" spans="1:16" x14ac:dyDescent="0.25">
      <c r="A318" s="439" t="str">
        <f t="shared" si="4"/>
        <v>310004100_#</v>
      </c>
      <c r="B318" s="1013" t="s">
        <v>1283</v>
      </c>
      <c r="C318" s="800" t="s">
        <v>1284</v>
      </c>
      <c r="D318" s="794" t="s">
        <v>1215</v>
      </c>
      <c r="E318" s="794" t="s">
        <v>1216</v>
      </c>
      <c r="F318" s="979"/>
      <c r="G318" s="979">
        <v>-67768.86</v>
      </c>
      <c r="H318" s="979">
        <v>18473.034</v>
      </c>
      <c r="I318" s="979"/>
      <c r="J318" s="979">
        <v>25317.616999999998</v>
      </c>
      <c r="K318" s="979">
        <v>-93204.588000000003</v>
      </c>
      <c r="L318" s="982"/>
      <c r="M318" s="439"/>
      <c r="N318" t="e">
        <f>VLOOKUP(A318, 'P&amp;L'!A:B,1,FALSE)</f>
        <v>#N/A</v>
      </c>
      <c r="O318" t="e">
        <f>VLOOKUP(A318, KeyData!A:C,1,FALSE)</f>
        <v>#N/A</v>
      </c>
      <c r="P318" s="439"/>
    </row>
    <row r="319" spans="1:16" x14ac:dyDescent="0.25">
      <c r="A319" s="439" t="str">
        <f t="shared" si="4"/>
        <v>310004100_Result</v>
      </c>
      <c r="B319" s="1013" t="s">
        <v>1283</v>
      </c>
      <c r="C319" s="800" t="s">
        <v>1284</v>
      </c>
      <c r="D319" s="824" t="s">
        <v>1129</v>
      </c>
      <c r="E319" s="822"/>
      <c r="F319" s="980"/>
      <c r="G319" s="980">
        <v>-67768.86</v>
      </c>
      <c r="H319" s="980">
        <v>18473.034</v>
      </c>
      <c r="I319" s="980"/>
      <c r="J319" s="980">
        <v>25317.616999999998</v>
      </c>
      <c r="K319" s="980">
        <v>-93204.588000000003</v>
      </c>
      <c r="L319" s="983"/>
      <c r="M319" s="439"/>
      <c r="N319" t="str">
        <f>VLOOKUP(A319, 'P&amp;L'!A:B,1,FALSE)</f>
        <v>310004100_Result</v>
      </c>
      <c r="O319" t="e">
        <f>VLOOKUP(A319, KeyData!A:C,1,FALSE)</f>
        <v>#N/A</v>
      </c>
      <c r="P319" s="439"/>
    </row>
    <row r="320" spans="1:16" x14ac:dyDescent="0.25">
      <c r="A320" s="439" t="str">
        <f t="shared" si="4"/>
        <v>310006600_#</v>
      </c>
      <c r="B320" s="1013" t="s">
        <v>1285</v>
      </c>
      <c r="C320" s="800" t="s">
        <v>1286</v>
      </c>
      <c r="D320" s="794" t="s">
        <v>1215</v>
      </c>
      <c r="E320" s="794" t="s">
        <v>1216</v>
      </c>
      <c r="F320" s="979"/>
      <c r="G320" s="979"/>
      <c r="H320" s="979"/>
      <c r="I320" s="979"/>
      <c r="J320" s="979">
        <v>-5092</v>
      </c>
      <c r="K320" s="979">
        <v>-7680.5050000000001</v>
      </c>
      <c r="L320" s="982"/>
      <c r="M320" s="439"/>
      <c r="N320" t="e">
        <f>VLOOKUP(A320, 'P&amp;L'!A:B,1,FALSE)</f>
        <v>#N/A</v>
      </c>
      <c r="O320" t="e">
        <f>VLOOKUP(A320, KeyData!A:C,1,FALSE)</f>
        <v>#N/A</v>
      </c>
      <c r="P320" s="439"/>
    </row>
    <row r="321" spans="1:16" x14ac:dyDescent="0.25">
      <c r="A321" s="439" t="str">
        <f t="shared" si="4"/>
        <v>310006600_Result</v>
      </c>
      <c r="B321" s="1013" t="s">
        <v>1285</v>
      </c>
      <c r="C321" s="800" t="s">
        <v>1286</v>
      </c>
      <c r="D321" s="824" t="s">
        <v>1129</v>
      </c>
      <c r="E321" s="822"/>
      <c r="F321" s="980"/>
      <c r="G321" s="980"/>
      <c r="H321" s="980"/>
      <c r="I321" s="980"/>
      <c r="J321" s="980">
        <v>-5092</v>
      </c>
      <c r="K321" s="980">
        <v>-7680.5050000000001</v>
      </c>
      <c r="L321" s="983"/>
      <c r="M321" s="439"/>
      <c r="N321" t="str">
        <f>VLOOKUP(A321, 'P&amp;L'!A:B,1,FALSE)</f>
        <v>310006600_Result</v>
      </c>
      <c r="O321" t="e">
        <f>VLOOKUP(A321, KeyData!A:C,1,FALSE)</f>
        <v>#N/A</v>
      </c>
      <c r="P321" s="439"/>
    </row>
    <row r="322" spans="1:16" x14ac:dyDescent="0.25">
      <c r="A322" s="439" t="str">
        <f t="shared" si="4"/>
        <v>310500000_#</v>
      </c>
      <c r="B322" s="1010" t="s">
        <v>1287</v>
      </c>
      <c r="C322" s="798" t="s">
        <v>1288</v>
      </c>
      <c r="D322" s="794" t="s">
        <v>1215</v>
      </c>
      <c r="E322" s="794" t="s">
        <v>1216</v>
      </c>
      <c r="F322" s="979"/>
      <c r="G322" s="979">
        <v>-1578192.7209999999</v>
      </c>
      <c r="H322" s="979">
        <v>-957469.42099999997</v>
      </c>
      <c r="I322" s="979">
        <v>-1888280.084</v>
      </c>
      <c r="J322" s="979">
        <v>-1889872.382</v>
      </c>
      <c r="K322" s="979">
        <v>-1935025.879</v>
      </c>
      <c r="L322" s="982">
        <v>-2607372.6719999998</v>
      </c>
      <c r="M322" s="439"/>
      <c r="N322" t="e">
        <f>VLOOKUP(A322, 'P&amp;L'!A:B,1,FALSE)</f>
        <v>#N/A</v>
      </c>
      <c r="O322" t="e">
        <f>VLOOKUP(A322, KeyData!A:C,1,FALSE)</f>
        <v>#N/A</v>
      </c>
      <c r="P322" s="439"/>
    </row>
    <row r="323" spans="1:16" x14ac:dyDescent="0.25">
      <c r="A323" s="439" t="str">
        <f t="shared" ref="A323:A386" si="5" xml:space="preserve"> IFERROR(+B323*1,B323)&amp;"_"&amp;IFERROR(+D323*1,D323)</f>
        <v>310500000_Result</v>
      </c>
      <c r="B323" s="1010" t="s">
        <v>1287</v>
      </c>
      <c r="C323" s="798" t="s">
        <v>1288</v>
      </c>
      <c r="D323" s="824" t="s">
        <v>1129</v>
      </c>
      <c r="E323" s="822"/>
      <c r="F323" s="980"/>
      <c r="G323" s="980">
        <v>-1578192.7209999999</v>
      </c>
      <c r="H323" s="980">
        <v>-957469.42099999997</v>
      </c>
      <c r="I323" s="980">
        <v>-1888280.084</v>
      </c>
      <c r="J323" s="980">
        <v>-1889872.382</v>
      </c>
      <c r="K323" s="980">
        <v>-1935025.879</v>
      </c>
      <c r="L323" s="983">
        <v>-2607372.6719999998</v>
      </c>
      <c r="M323" s="439"/>
      <c r="N323" t="str">
        <f>VLOOKUP(A323, 'P&amp;L'!A:B,1,FALSE)</f>
        <v>310500000_Result</v>
      </c>
      <c r="O323" t="e">
        <f>VLOOKUP(A323, KeyData!A:C,1,FALSE)</f>
        <v>#N/A</v>
      </c>
      <c r="P323" s="439"/>
    </row>
    <row r="324" spans="1:16" x14ac:dyDescent="0.25">
      <c r="A324" s="439" t="str">
        <f t="shared" si="5"/>
        <v>310501100_#</v>
      </c>
      <c r="B324" s="601" t="s">
        <v>1289</v>
      </c>
      <c r="C324" s="825" t="s">
        <v>836</v>
      </c>
      <c r="D324" s="794" t="s">
        <v>1215</v>
      </c>
      <c r="E324" s="794" t="s">
        <v>1216</v>
      </c>
      <c r="F324" s="979"/>
      <c r="G324" s="979">
        <v>-659607.81700000004</v>
      </c>
      <c r="H324" s="979">
        <v>-543488.67200000002</v>
      </c>
      <c r="I324" s="979">
        <v>-902788.272</v>
      </c>
      <c r="J324" s="979">
        <v>-983938.84199999995</v>
      </c>
      <c r="K324" s="979">
        <v>-1031451.197</v>
      </c>
      <c r="L324" s="982">
        <v>-1855018.878</v>
      </c>
      <c r="M324" s="439"/>
      <c r="N324" t="e">
        <f>VLOOKUP(A324, 'P&amp;L'!A:B,1,FALSE)</f>
        <v>#N/A</v>
      </c>
      <c r="O324" t="e">
        <f>VLOOKUP(A324, KeyData!A:C,1,FALSE)</f>
        <v>#N/A</v>
      </c>
      <c r="P324" s="439"/>
    </row>
    <row r="325" spans="1:16" x14ac:dyDescent="0.25">
      <c r="A325" s="439" t="str">
        <f t="shared" si="5"/>
        <v>310501100_Result</v>
      </c>
      <c r="B325" s="601" t="s">
        <v>1289</v>
      </c>
      <c r="C325" s="825" t="s">
        <v>836</v>
      </c>
      <c r="D325" s="824" t="s">
        <v>1129</v>
      </c>
      <c r="E325" s="822"/>
      <c r="F325" s="980"/>
      <c r="G325" s="980">
        <v>-659607.81700000004</v>
      </c>
      <c r="H325" s="980">
        <v>-543488.67200000002</v>
      </c>
      <c r="I325" s="980">
        <v>-902788.272</v>
      </c>
      <c r="J325" s="980">
        <v>-983938.84199999995</v>
      </c>
      <c r="K325" s="980">
        <v>-1031451.197</v>
      </c>
      <c r="L325" s="983">
        <v>-1855018.878</v>
      </c>
      <c r="M325" s="439"/>
      <c r="N325" t="str">
        <f>VLOOKUP(A325, 'P&amp;L'!A:B,1,FALSE)</f>
        <v>310501100_Result</v>
      </c>
      <c r="O325" t="e">
        <f>VLOOKUP(A325, KeyData!A:C,1,FALSE)</f>
        <v>#N/A</v>
      </c>
      <c r="P325" s="439"/>
    </row>
    <row r="326" spans="1:16" x14ac:dyDescent="0.25">
      <c r="A326" s="439" t="str">
        <f t="shared" si="5"/>
        <v>310501600_#</v>
      </c>
      <c r="B326" s="601" t="s">
        <v>1290</v>
      </c>
      <c r="C326" s="825" t="s">
        <v>1291</v>
      </c>
      <c r="D326" s="794" t="s">
        <v>1215</v>
      </c>
      <c r="E326" s="794" t="s">
        <v>1216</v>
      </c>
      <c r="F326" s="979"/>
      <c r="G326" s="979">
        <v>-146783.489</v>
      </c>
      <c r="H326" s="979">
        <v>-134705.35399999999</v>
      </c>
      <c r="I326" s="979">
        <v>-260283.943</v>
      </c>
      <c r="J326" s="979">
        <v>-316068.67099999997</v>
      </c>
      <c r="K326" s="979">
        <v>-315612.56900000002</v>
      </c>
      <c r="L326" s="982">
        <v>-318502.27500000002</v>
      </c>
      <c r="M326" s="439"/>
      <c r="N326" t="e">
        <f>VLOOKUP(A326, 'P&amp;L'!A:B,1,FALSE)</f>
        <v>#N/A</v>
      </c>
      <c r="O326" t="e">
        <f>VLOOKUP(A326, KeyData!A:C,1,FALSE)</f>
        <v>#N/A</v>
      </c>
      <c r="P326" s="439"/>
    </row>
    <row r="327" spans="1:16" x14ac:dyDescent="0.25">
      <c r="A327" s="439" t="str">
        <f t="shared" si="5"/>
        <v>310501600_Result</v>
      </c>
      <c r="B327" s="601" t="s">
        <v>1290</v>
      </c>
      <c r="C327" s="825" t="s">
        <v>1291</v>
      </c>
      <c r="D327" s="824" t="s">
        <v>1129</v>
      </c>
      <c r="E327" s="822"/>
      <c r="F327" s="980"/>
      <c r="G327" s="980">
        <v>-146783.489</v>
      </c>
      <c r="H327" s="980">
        <v>-134705.35399999999</v>
      </c>
      <c r="I327" s="980">
        <v>-260283.943</v>
      </c>
      <c r="J327" s="980">
        <v>-316068.67099999997</v>
      </c>
      <c r="K327" s="980">
        <v>-315612.56900000002</v>
      </c>
      <c r="L327" s="983">
        <v>-318502.27500000002</v>
      </c>
      <c r="M327" s="439"/>
      <c r="N327" t="str">
        <f>VLOOKUP(A327, 'P&amp;L'!A:B,1,FALSE)</f>
        <v>310501600_Result</v>
      </c>
      <c r="O327" t="e">
        <f>VLOOKUP(A327, KeyData!A:C,1,FALSE)</f>
        <v>#N/A</v>
      </c>
      <c r="P327" s="439"/>
    </row>
    <row r="328" spans="1:16" x14ac:dyDescent="0.25">
      <c r="A328" s="439" t="str">
        <f t="shared" si="5"/>
        <v>310502100_#</v>
      </c>
      <c r="B328" s="601" t="s">
        <v>1292</v>
      </c>
      <c r="C328" s="825" t="s">
        <v>1293</v>
      </c>
      <c r="D328" s="794" t="s">
        <v>1215</v>
      </c>
      <c r="E328" s="794" t="s">
        <v>1216</v>
      </c>
      <c r="F328" s="979"/>
      <c r="G328" s="979">
        <v>-377198.26500000001</v>
      </c>
      <c r="H328" s="979">
        <v>-141209.90900000001</v>
      </c>
      <c r="I328" s="979">
        <v>-296936.239</v>
      </c>
      <c r="J328" s="979">
        <v>-291051.01299999998</v>
      </c>
      <c r="K328" s="979">
        <v>-289148.25699999998</v>
      </c>
      <c r="L328" s="982">
        <v>-246209.06200000001</v>
      </c>
      <c r="M328" s="439"/>
      <c r="N328" t="e">
        <f>VLOOKUP(A328, 'P&amp;L'!A:B,1,FALSE)</f>
        <v>#N/A</v>
      </c>
      <c r="O328" t="e">
        <f>VLOOKUP(A328, KeyData!A:C,1,FALSE)</f>
        <v>#N/A</v>
      </c>
      <c r="P328" s="439"/>
    </row>
    <row r="329" spans="1:16" x14ac:dyDescent="0.25">
      <c r="A329" s="439" t="str">
        <f t="shared" si="5"/>
        <v>310502100_Result</v>
      </c>
      <c r="B329" s="601" t="s">
        <v>1292</v>
      </c>
      <c r="C329" s="825" t="s">
        <v>1293</v>
      </c>
      <c r="D329" s="824" t="s">
        <v>1129</v>
      </c>
      <c r="E329" s="822"/>
      <c r="F329" s="980"/>
      <c r="G329" s="980">
        <v>-377198.26500000001</v>
      </c>
      <c r="H329" s="980">
        <v>-141209.90900000001</v>
      </c>
      <c r="I329" s="980">
        <v>-296936.239</v>
      </c>
      <c r="J329" s="980">
        <v>-291051.01299999998</v>
      </c>
      <c r="K329" s="980">
        <v>-289148.25699999998</v>
      </c>
      <c r="L329" s="983">
        <v>-246209.06200000001</v>
      </c>
      <c r="M329" s="439"/>
      <c r="N329" t="str">
        <f>VLOOKUP(A329, 'P&amp;L'!A:B,1,FALSE)</f>
        <v>310502100_Result</v>
      </c>
      <c r="O329" t="e">
        <f>VLOOKUP(A329, KeyData!A:C,1,FALSE)</f>
        <v>#N/A</v>
      </c>
      <c r="P329" s="439"/>
    </row>
    <row r="330" spans="1:16" x14ac:dyDescent="0.25">
      <c r="A330" s="439" t="str">
        <f t="shared" si="5"/>
        <v>310503100_#</v>
      </c>
      <c r="B330" s="601" t="s">
        <v>1294</v>
      </c>
      <c r="C330" s="825" t="s">
        <v>461</v>
      </c>
      <c r="D330" s="794" t="s">
        <v>1215</v>
      </c>
      <c r="E330" s="794" t="s">
        <v>1216</v>
      </c>
      <c r="F330" s="979"/>
      <c r="G330" s="979">
        <v>-394603.15</v>
      </c>
      <c r="H330" s="979">
        <v>-138065.486</v>
      </c>
      <c r="I330" s="979">
        <v>-428271.63</v>
      </c>
      <c r="J330" s="979">
        <v>-298813.85600000003</v>
      </c>
      <c r="K330" s="979">
        <v>-298813.85600000003</v>
      </c>
      <c r="L330" s="982">
        <v>-187642.45699999999</v>
      </c>
      <c r="M330" s="439"/>
      <c r="N330" t="e">
        <f>VLOOKUP(A330, 'P&amp;L'!A:B,1,FALSE)</f>
        <v>#N/A</v>
      </c>
      <c r="O330" t="e">
        <f>VLOOKUP(A330, KeyData!A:C,1,FALSE)</f>
        <v>#N/A</v>
      </c>
      <c r="P330" s="439"/>
    </row>
    <row r="331" spans="1:16" x14ac:dyDescent="0.25">
      <c r="A331" s="439" t="str">
        <f t="shared" si="5"/>
        <v>310503100_Result</v>
      </c>
      <c r="B331" s="601" t="s">
        <v>1294</v>
      </c>
      <c r="C331" s="825" t="s">
        <v>461</v>
      </c>
      <c r="D331" s="824" t="s">
        <v>1129</v>
      </c>
      <c r="E331" s="822"/>
      <c r="F331" s="980"/>
      <c r="G331" s="980">
        <v>-394603.15</v>
      </c>
      <c r="H331" s="980">
        <v>-138065.486</v>
      </c>
      <c r="I331" s="980">
        <v>-428271.63</v>
      </c>
      <c r="J331" s="980">
        <v>-298813.85600000003</v>
      </c>
      <c r="K331" s="980">
        <v>-298813.85600000003</v>
      </c>
      <c r="L331" s="983">
        <v>-187642.45699999999</v>
      </c>
      <c r="M331" s="439"/>
      <c r="N331" t="str">
        <f>VLOOKUP(A331, 'P&amp;L'!A:B,1,FALSE)</f>
        <v>310503100_Result</v>
      </c>
      <c r="O331" t="e">
        <f>VLOOKUP(A331, KeyData!A:C,1,FALSE)</f>
        <v>#N/A</v>
      </c>
      <c r="P331" s="439"/>
    </row>
    <row r="332" spans="1:16" x14ac:dyDescent="0.25">
      <c r="A332" s="439" t="str">
        <f t="shared" si="5"/>
        <v>311000000_#</v>
      </c>
      <c r="B332" s="1010" t="s">
        <v>1295</v>
      </c>
      <c r="C332" s="798" t="s">
        <v>1296</v>
      </c>
      <c r="D332" s="794" t="s">
        <v>1215</v>
      </c>
      <c r="E332" s="794" t="s">
        <v>1216</v>
      </c>
      <c r="F332" s="979"/>
      <c r="G332" s="979">
        <v>147600.30799999999</v>
      </c>
      <c r="H332" s="979">
        <v>-95819.921000000002</v>
      </c>
      <c r="I332" s="979"/>
      <c r="J332" s="979">
        <v>-109006.247</v>
      </c>
      <c r="K332" s="979">
        <v>-109006.247</v>
      </c>
      <c r="L332" s="982"/>
      <c r="M332" s="439"/>
      <c r="N332" t="e">
        <f>VLOOKUP(A332, 'P&amp;L'!A:B,1,FALSE)</f>
        <v>#N/A</v>
      </c>
      <c r="O332" t="e">
        <f>VLOOKUP(A332, KeyData!A:C,1,FALSE)</f>
        <v>#N/A</v>
      </c>
      <c r="P332" s="439"/>
    </row>
    <row r="333" spans="1:16" x14ac:dyDescent="0.25">
      <c r="A333" s="439" t="str">
        <f t="shared" si="5"/>
        <v>311000000_Result</v>
      </c>
      <c r="B333" s="1010" t="s">
        <v>1295</v>
      </c>
      <c r="C333" s="798" t="s">
        <v>1296</v>
      </c>
      <c r="D333" s="824" t="s">
        <v>1129</v>
      </c>
      <c r="E333" s="822"/>
      <c r="F333" s="980"/>
      <c r="G333" s="980">
        <v>147600.30799999999</v>
      </c>
      <c r="H333" s="980">
        <v>-95819.921000000002</v>
      </c>
      <c r="I333" s="980"/>
      <c r="J333" s="980">
        <v>-109006.247</v>
      </c>
      <c r="K333" s="980">
        <v>-109006.247</v>
      </c>
      <c r="L333" s="983"/>
      <c r="M333" s="439"/>
      <c r="N333" t="str">
        <f>VLOOKUP(A333, 'P&amp;L'!A:B,1,FALSE)</f>
        <v>311000000_Result</v>
      </c>
      <c r="O333" t="e">
        <f>VLOOKUP(A333, KeyData!A:C,1,FALSE)</f>
        <v>#N/A</v>
      </c>
      <c r="P333" s="439"/>
    </row>
    <row r="334" spans="1:16" x14ac:dyDescent="0.25">
      <c r="A334" s="439" t="str">
        <f t="shared" si="5"/>
        <v>311001600_#</v>
      </c>
      <c r="B334" s="601" t="s">
        <v>1297</v>
      </c>
      <c r="C334" s="825" t="s">
        <v>1298</v>
      </c>
      <c r="D334" s="794" t="s">
        <v>1215</v>
      </c>
      <c r="E334" s="794" t="s">
        <v>1216</v>
      </c>
      <c r="F334" s="979"/>
      <c r="G334" s="979">
        <v>-5049.2929999999997</v>
      </c>
      <c r="H334" s="979">
        <v>41998.599000000002</v>
      </c>
      <c r="I334" s="979"/>
      <c r="J334" s="979">
        <v>9673.3649999999998</v>
      </c>
      <c r="K334" s="979">
        <v>9673.3649999999998</v>
      </c>
      <c r="L334" s="982"/>
      <c r="M334" s="439"/>
      <c r="N334" t="e">
        <f>VLOOKUP(A334, 'P&amp;L'!A:B,1,FALSE)</f>
        <v>#N/A</v>
      </c>
      <c r="O334" t="e">
        <f>VLOOKUP(A334, KeyData!A:C,1,FALSE)</f>
        <v>#N/A</v>
      </c>
      <c r="P334" s="439"/>
    </row>
    <row r="335" spans="1:16" x14ac:dyDescent="0.25">
      <c r="A335" s="439" t="str">
        <f t="shared" si="5"/>
        <v>311001600_Result</v>
      </c>
      <c r="B335" s="601" t="s">
        <v>1297</v>
      </c>
      <c r="C335" s="825" t="s">
        <v>1298</v>
      </c>
      <c r="D335" s="824" t="s">
        <v>1129</v>
      </c>
      <c r="E335" s="822"/>
      <c r="F335" s="980"/>
      <c r="G335" s="980">
        <v>-5049.2929999999997</v>
      </c>
      <c r="H335" s="980">
        <v>41998.599000000002</v>
      </c>
      <c r="I335" s="980"/>
      <c r="J335" s="980">
        <v>9673.3649999999998</v>
      </c>
      <c r="K335" s="980">
        <v>9673.3649999999998</v>
      </c>
      <c r="L335" s="983"/>
      <c r="M335" s="439"/>
      <c r="N335" t="str">
        <f>VLOOKUP(A335, 'P&amp;L'!A:B,1,FALSE)</f>
        <v>311001600_Result</v>
      </c>
      <c r="O335" t="e">
        <f>VLOOKUP(A335, KeyData!A:C,1,FALSE)</f>
        <v>#N/A</v>
      </c>
      <c r="P335" s="439"/>
    </row>
    <row r="336" spans="1:16" x14ac:dyDescent="0.25">
      <c r="A336" s="439" t="str">
        <f t="shared" si="5"/>
        <v>311001700_#</v>
      </c>
      <c r="B336" s="601" t="s">
        <v>1299</v>
      </c>
      <c r="C336" s="825" t="s">
        <v>1298</v>
      </c>
      <c r="D336" s="794" t="s">
        <v>1215</v>
      </c>
      <c r="E336" s="794" t="s">
        <v>1216</v>
      </c>
      <c r="F336" s="979"/>
      <c r="G336" s="979">
        <v>152649.601</v>
      </c>
      <c r="H336" s="979">
        <v>-137818.51999999999</v>
      </c>
      <c r="I336" s="979"/>
      <c r="J336" s="979">
        <v>-118679.61199999999</v>
      </c>
      <c r="K336" s="979">
        <v>-118679.61199999999</v>
      </c>
      <c r="L336" s="982"/>
      <c r="M336" s="439"/>
      <c r="N336" t="e">
        <f>VLOOKUP(A336, 'P&amp;L'!A:B,1,FALSE)</f>
        <v>#N/A</v>
      </c>
      <c r="O336" t="e">
        <f>VLOOKUP(A336, KeyData!A:C,1,FALSE)</f>
        <v>#N/A</v>
      </c>
      <c r="P336" s="439"/>
    </row>
    <row r="337" spans="1:16" x14ac:dyDescent="0.25">
      <c r="A337" s="439" t="str">
        <f t="shared" si="5"/>
        <v>311001700_Result</v>
      </c>
      <c r="B337" s="601" t="s">
        <v>1299</v>
      </c>
      <c r="C337" s="825" t="s">
        <v>1298</v>
      </c>
      <c r="D337" s="824" t="s">
        <v>1129</v>
      </c>
      <c r="E337" s="822"/>
      <c r="F337" s="980"/>
      <c r="G337" s="980">
        <v>152649.601</v>
      </c>
      <c r="H337" s="980">
        <v>-137818.51999999999</v>
      </c>
      <c r="I337" s="980"/>
      <c r="J337" s="980">
        <v>-118679.61199999999</v>
      </c>
      <c r="K337" s="980">
        <v>-118679.61199999999</v>
      </c>
      <c r="L337" s="983"/>
      <c r="M337" s="439"/>
      <c r="N337" t="str">
        <f>VLOOKUP(A337, 'P&amp;L'!A:B,1,FALSE)</f>
        <v>311001700_Result</v>
      </c>
      <c r="O337" t="e">
        <f>VLOOKUP(A337, KeyData!A:C,1,FALSE)</f>
        <v>#N/A</v>
      </c>
      <c r="P337" s="439"/>
    </row>
    <row r="338" spans="1:16" x14ac:dyDescent="0.25">
      <c r="A338" s="439" t="str">
        <f t="shared" si="5"/>
        <v>311500000_#</v>
      </c>
      <c r="B338" s="1009" t="s">
        <v>1300</v>
      </c>
      <c r="C338" s="797" t="s">
        <v>854</v>
      </c>
      <c r="D338" s="794" t="s">
        <v>1215</v>
      </c>
      <c r="E338" s="794" t="s">
        <v>1216</v>
      </c>
      <c r="F338" s="979"/>
      <c r="G338" s="979">
        <v>-1178724.2919999999</v>
      </c>
      <c r="H338" s="979">
        <v>-604405.44400000002</v>
      </c>
      <c r="I338" s="979">
        <v>-1463656.352</v>
      </c>
      <c r="J338" s="979">
        <v>-1345555.0919999999</v>
      </c>
      <c r="K338" s="979">
        <v>-1345555.0919999999</v>
      </c>
      <c r="L338" s="982">
        <v>-1813597.7879999999</v>
      </c>
      <c r="M338" s="439"/>
      <c r="N338" t="e">
        <f>VLOOKUP(A338, 'P&amp;L'!A:B,1,FALSE)</f>
        <v>#N/A</v>
      </c>
      <c r="O338" t="e">
        <f>VLOOKUP(A338, KeyData!A:C,1,FALSE)</f>
        <v>#N/A</v>
      </c>
      <c r="P338" s="439"/>
    </row>
    <row r="339" spans="1:16" x14ac:dyDescent="0.25">
      <c r="A339" s="439" t="str">
        <f t="shared" si="5"/>
        <v>311500000_Result</v>
      </c>
      <c r="B339" s="1009" t="s">
        <v>1300</v>
      </c>
      <c r="C339" s="797" t="s">
        <v>854</v>
      </c>
      <c r="D339" s="824" t="s">
        <v>1129</v>
      </c>
      <c r="E339" s="822"/>
      <c r="F339" s="980"/>
      <c r="G339" s="980">
        <v>-1178724.2919999999</v>
      </c>
      <c r="H339" s="980">
        <v>-604405.44400000002</v>
      </c>
      <c r="I339" s="980">
        <v>-1463656.352</v>
      </c>
      <c r="J339" s="980">
        <v>-1345555.0919999999</v>
      </c>
      <c r="K339" s="980">
        <v>-1345555.0919999999</v>
      </c>
      <c r="L339" s="983">
        <v>-1813597.7879999999</v>
      </c>
      <c r="M339" s="439"/>
      <c r="N339" t="str">
        <f>VLOOKUP(A339, 'P&amp;L'!A:B,1,FALSE)</f>
        <v>311500000_Result</v>
      </c>
      <c r="O339" t="e">
        <f>VLOOKUP(A339, KeyData!A:C,1,FALSE)</f>
        <v>#N/A</v>
      </c>
      <c r="P339" s="439"/>
    </row>
    <row r="340" spans="1:16" x14ac:dyDescent="0.25">
      <c r="A340" s="439" t="str">
        <f t="shared" si="5"/>
        <v>311503100_#</v>
      </c>
      <c r="B340" s="1016" t="s">
        <v>1301</v>
      </c>
      <c r="C340" s="798" t="s">
        <v>1302</v>
      </c>
      <c r="D340" s="794" t="s">
        <v>1215</v>
      </c>
      <c r="E340" s="794" t="s">
        <v>1216</v>
      </c>
      <c r="F340" s="979"/>
      <c r="G340" s="979">
        <v>-1178724.2919999999</v>
      </c>
      <c r="H340" s="979">
        <v>-770660.45600000001</v>
      </c>
      <c r="I340" s="979">
        <v>-1463656.352</v>
      </c>
      <c r="J340" s="979">
        <v>-1511810.1040000001</v>
      </c>
      <c r="K340" s="979">
        <v>-1511810.1040000001</v>
      </c>
      <c r="L340" s="982">
        <v>-1813597.7879999999</v>
      </c>
      <c r="M340" s="439"/>
      <c r="N340" t="e">
        <f>VLOOKUP(A340, 'P&amp;L'!A:B,1,FALSE)</f>
        <v>#N/A</v>
      </c>
      <c r="O340" t="e">
        <f>VLOOKUP(A340, KeyData!A:C,1,FALSE)</f>
        <v>#N/A</v>
      </c>
      <c r="P340" s="439"/>
    </row>
    <row r="341" spans="1:16" x14ac:dyDescent="0.25">
      <c r="A341" s="439" t="str">
        <f t="shared" si="5"/>
        <v>311503100_Result</v>
      </c>
      <c r="B341" s="1016" t="s">
        <v>1301</v>
      </c>
      <c r="C341" s="798" t="s">
        <v>1302</v>
      </c>
      <c r="D341" s="824" t="s">
        <v>1129</v>
      </c>
      <c r="E341" s="822"/>
      <c r="F341" s="980"/>
      <c r="G341" s="980">
        <v>-1178724.2919999999</v>
      </c>
      <c r="H341" s="980">
        <v>-770660.45600000001</v>
      </c>
      <c r="I341" s="980">
        <v>-1463656.352</v>
      </c>
      <c r="J341" s="980">
        <v>-1511810.1040000001</v>
      </c>
      <c r="K341" s="980">
        <v>-1511810.1040000001</v>
      </c>
      <c r="L341" s="983">
        <v>-1813597.7879999999</v>
      </c>
      <c r="M341" s="439"/>
      <c r="N341" t="str">
        <f>VLOOKUP(A341, 'P&amp;L'!A:B,1,FALSE)</f>
        <v>311503100_Result</v>
      </c>
      <c r="O341" t="e">
        <f>VLOOKUP(A341, KeyData!A:C,1,FALSE)</f>
        <v>#N/A</v>
      </c>
      <c r="P341" s="439"/>
    </row>
    <row r="342" spans="1:16" x14ac:dyDescent="0.25">
      <c r="A342" s="439" t="str">
        <f t="shared" si="5"/>
        <v>311504100_#</v>
      </c>
      <c r="B342" s="1016" t="s">
        <v>1303</v>
      </c>
      <c r="C342" s="798" t="s">
        <v>882</v>
      </c>
      <c r="D342" s="794" t="s">
        <v>1215</v>
      </c>
      <c r="E342" s="794" t="s">
        <v>1216</v>
      </c>
      <c r="F342" s="979"/>
      <c r="G342" s="979"/>
      <c r="H342" s="979">
        <v>166255.01199999999</v>
      </c>
      <c r="I342" s="979"/>
      <c r="J342" s="979">
        <v>166255.01199999999</v>
      </c>
      <c r="K342" s="979">
        <v>166255.01199999999</v>
      </c>
      <c r="L342" s="982"/>
      <c r="M342" s="439"/>
      <c r="N342" t="e">
        <f>VLOOKUP(A342, 'P&amp;L'!A:B,1,FALSE)</f>
        <v>#N/A</v>
      </c>
      <c r="O342" t="e">
        <f>VLOOKUP(A342, KeyData!A:C,1,FALSE)</f>
        <v>#N/A</v>
      </c>
      <c r="P342" s="439"/>
    </row>
    <row r="343" spans="1:16" x14ac:dyDescent="0.25">
      <c r="A343" s="439" t="str">
        <f t="shared" si="5"/>
        <v>311504100_Result</v>
      </c>
      <c r="B343" s="1016" t="s">
        <v>1303</v>
      </c>
      <c r="C343" s="798" t="s">
        <v>882</v>
      </c>
      <c r="D343" s="824" t="s">
        <v>1129</v>
      </c>
      <c r="E343" s="822"/>
      <c r="F343" s="980"/>
      <c r="G343" s="980"/>
      <c r="H343" s="980">
        <v>166255.01199999999</v>
      </c>
      <c r="I343" s="980"/>
      <c r="J343" s="980">
        <v>166255.01199999999</v>
      </c>
      <c r="K343" s="980">
        <v>166255.01199999999</v>
      </c>
      <c r="L343" s="983"/>
      <c r="M343" s="439"/>
      <c r="N343" t="str">
        <f>VLOOKUP(A343, 'P&amp;L'!A:B,1,FALSE)</f>
        <v>311504100_Result</v>
      </c>
      <c r="O343" t="e">
        <f>VLOOKUP(A343, KeyData!A:C,1,FALSE)</f>
        <v>#N/A</v>
      </c>
      <c r="P343" s="439"/>
    </row>
    <row r="344" spans="1:16" x14ac:dyDescent="0.25">
      <c r="A344" s="439" t="str">
        <f t="shared" si="5"/>
        <v>312000000_#</v>
      </c>
      <c r="B344" s="1009" t="s">
        <v>1304</v>
      </c>
      <c r="C344" s="797" t="s">
        <v>1305</v>
      </c>
      <c r="D344" s="794" t="s">
        <v>1215</v>
      </c>
      <c r="E344" s="794" t="s">
        <v>1216</v>
      </c>
      <c r="F344" s="979"/>
      <c r="G344" s="979">
        <v>-140178.242</v>
      </c>
      <c r="H344" s="979">
        <v>-159911.185</v>
      </c>
      <c r="I344" s="979">
        <v>-283221.85499999998</v>
      </c>
      <c r="J344" s="979">
        <v>-318053.31699999998</v>
      </c>
      <c r="K344" s="979">
        <v>-318915.73800000001</v>
      </c>
      <c r="L344" s="982">
        <v>-350672.89899999998</v>
      </c>
      <c r="M344" s="439"/>
      <c r="N344" t="e">
        <f>VLOOKUP(A344, 'P&amp;L'!A:B,1,FALSE)</f>
        <v>#N/A</v>
      </c>
      <c r="O344" t="e">
        <f>VLOOKUP(A344, KeyData!A:C,1,FALSE)</f>
        <v>#N/A</v>
      </c>
      <c r="P344" s="439"/>
    </row>
    <row r="345" spans="1:16" x14ac:dyDescent="0.25">
      <c r="A345" s="439" t="str">
        <f t="shared" si="5"/>
        <v>312000000_Result</v>
      </c>
      <c r="B345" s="1009" t="s">
        <v>1304</v>
      </c>
      <c r="C345" s="797" t="s">
        <v>1305</v>
      </c>
      <c r="D345" s="824" t="s">
        <v>1129</v>
      </c>
      <c r="E345" s="822"/>
      <c r="F345" s="980"/>
      <c r="G345" s="980">
        <v>-140178.242</v>
      </c>
      <c r="H345" s="980">
        <v>-159911.185</v>
      </c>
      <c r="I345" s="980">
        <v>-283221.85499999998</v>
      </c>
      <c r="J345" s="980">
        <v>-318053.31699999998</v>
      </c>
      <c r="K345" s="980">
        <v>-318915.73800000001</v>
      </c>
      <c r="L345" s="983">
        <v>-350672.89899999998</v>
      </c>
      <c r="M345" s="439"/>
      <c r="N345" t="str">
        <f>VLOOKUP(A345, 'P&amp;L'!A:B,1,FALSE)</f>
        <v>312000000_Result</v>
      </c>
      <c r="O345" t="e">
        <f>VLOOKUP(A345, KeyData!A:C,1,FALSE)</f>
        <v>#N/A</v>
      </c>
      <c r="P345" s="439"/>
    </row>
    <row r="346" spans="1:16" x14ac:dyDescent="0.25">
      <c r="A346" s="439" t="str">
        <f t="shared" si="5"/>
        <v>312001100_#</v>
      </c>
      <c r="B346" s="1016" t="s">
        <v>1306</v>
      </c>
      <c r="C346" s="798" t="s">
        <v>886</v>
      </c>
      <c r="D346" s="794" t="s">
        <v>1215</v>
      </c>
      <c r="E346" s="794" t="s">
        <v>1216</v>
      </c>
      <c r="F346" s="979"/>
      <c r="G346" s="979">
        <v>-87110.805999999997</v>
      </c>
      <c r="H346" s="979">
        <v>-92171.721999999994</v>
      </c>
      <c r="I346" s="979">
        <v>-174889.70199999999</v>
      </c>
      <c r="J346" s="979">
        <v>-193323.791</v>
      </c>
      <c r="K346" s="979">
        <v>-193323.79</v>
      </c>
      <c r="L346" s="982">
        <v>-231921.66</v>
      </c>
      <c r="M346" s="439"/>
      <c r="N346" t="e">
        <f>VLOOKUP(A346, 'P&amp;L'!A:B,1,FALSE)</f>
        <v>#N/A</v>
      </c>
      <c r="O346" t="e">
        <f>VLOOKUP(A346, KeyData!A:C,1,FALSE)</f>
        <v>#N/A</v>
      </c>
      <c r="P346" s="439"/>
    </row>
    <row r="347" spans="1:16" x14ac:dyDescent="0.25">
      <c r="A347" s="439" t="str">
        <f t="shared" si="5"/>
        <v>312001100_Result</v>
      </c>
      <c r="B347" s="1016" t="s">
        <v>1306</v>
      </c>
      <c r="C347" s="798" t="s">
        <v>886</v>
      </c>
      <c r="D347" s="824" t="s">
        <v>1129</v>
      </c>
      <c r="E347" s="822"/>
      <c r="F347" s="980"/>
      <c r="G347" s="980">
        <v>-87110.805999999997</v>
      </c>
      <c r="H347" s="980">
        <v>-92171.721999999994</v>
      </c>
      <c r="I347" s="980">
        <v>-174889.70199999999</v>
      </c>
      <c r="J347" s="980">
        <v>-193323.791</v>
      </c>
      <c r="K347" s="980">
        <v>-193323.79</v>
      </c>
      <c r="L347" s="983">
        <v>-231921.66</v>
      </c>
      <c r="M347" s="439"/>
      <c r="N347" t="str">
        <f>VLOOKUP(A347, 'P&amp;L'!A:B,1,FALSE)</f>
        <v>312001100_Result</v>
      </c>
      <c r="O347" t="e">
        <f>VLOOKUP(A347, KeyData!A:C,1,FALSE)</f>
        <v>#N/A</v>
      </c>
      <c r="P347" s="439"/>
    </row>
    <row r="348" spans="1:16" x14ac:dyDescent="0.25">
      <c r="A348" s="439" t="str">
        <f t="shared" si="5"/>
        <v>312001600_#</v>
      </c>
      <c r="B348" s="1016" t="s">
        <v>1307</v>
      </c>
      <c r="C348" s="798" t="s">
        <v>888</v>
      </c>
      <c r="D348" s="794" t="s">
        <v>1215</v>
      </c>
      <c r="E348" s="794" t="s">
        <v>1216</v>
      </c>
      <c r="F348" s="979"/>
      <c r="G348" s="979">
        <v>-4340.5540000000001</v>
      </c>
      <c r="H348" s="979">
        <v>-4064.297</v>
      </c>
      <c r="I348" s="979">
        <v>-7711.6869999999999</v>
      </c>
      <c r="J348" s="979">
        <v>-9401.0840000000007</v>
      </c>
      <c r="K348" s="979">
        <v>-9401.0869999999995</v>
      </c>
      <c r="L348" s="982">
        <v>-15032.688</v>
      </c>
      <c r="M348" s="439"/>
      <c r="N348" t="e">
        <f>VLOOKUP(A348, 'P&amp;L'!A:B,1,FALSE)</f>
        <v>#N/A</v>
      </c>
      <c r="O348" t="e">
        <f>VLOOKUP(A348, KeyData!A:C,1,FALSE)</f>
        <v>#N/A</v>
      </c>
      <c r="P348" s="439"/>
    </row>
    <row r="349" spans="1:16" x14ac:dyDescent="0.25">
      <c r="A349" s="439" t="str">
        <f t="shared" si="5"/>
        <v>312001600_Result</v>
      </c>
      <c r="B349" s="1016" t="s">
        <v>1307</v>
      </c>
      <c r="C349" s="798" t="s">
        <v>888</v>
      </c>
      <c r="D349" s="824" t="s">
        <v>1129</v>
      </c>
      <c r="E349" s="822"/>
      <c r="F349" s="980"/>
      <c r="G349" s="980">
        <v>-4340.5540000000001</v>
      </c>
      <c r="H349" s="980">
        <v>-4064.297</v>
      </c>
      <c r="I349" s="980">
        <v>-7711.6869999999999</v>
      </c>
      <c r="J349" s="980">
        <v>-9401.0840000000007</v>
      </c>
      <c r="K349" s="980">
        <v>-9401.0869999999995</v>
      </c>
      <c r="L349" s="983">
        <v>-15032.688</v>
      </c>
      <c r="M349" s="439"/>
      <c r="N349" t="str">
        <f>VLOOKUP(A349, 'P&amp;L'!A:B,1,FALSE)</f>
        <v>312001600_Result</v>
      </c>
      <c r="O349" t="e">
        <f>VLOOKUP(A349, KeyData!A:C,1,FALSE)</f>
        <v>#N/A</v>
      </c>
      <c r="P349" s="439"/>
    </row>
    <row r="350" spans="1:16" x14ac:dyDescent="0.25">
      <c r="A350" s="439" t="str">
        <f t="shared" si="5"/>
        <v>312002100_#</v>
      </c>
      <c r="B350" s="1016" t="s">
        <v>1308</v>
      </c>
      <c r="C350" s="798" t="s">
        <v>473</v>
      </c>
      <c r="D350" s="794" t="s">
        <v>1215</v>
      </c>
      <c r="E350" s="794" t="s">
        <v>1216</v>
      </c>
      <c r="F350" s="979"/>
      <c r="G350" s="979">
        <v>-48726.881999999998</v>
      </c>
      <c r="H350" s="979">
        <v>-63675.165999999997</v>
      </c>
      <c r="I350" s="979">
        <v>-100620.466</v>
      </c>
      <c r="J350" s="979">
        <v>-115328.442</v>
      </c>
      <c r="K350" s="979">
        <v>-116190.861</v>
      </c>
      <c r="L350" s="982">
        <v>-103718.55100000001</v>
      </c>
      <c r="M350" s="439"/>
      <c r="N350" t="e">
        <f>VLOOKUP(A350, 'P&amp;L'!A:B,1,FALSE)</f>
        <v>#N/A</v>
      </c>
      <c r="O350" t="e">
        <f>VLOOKUP(A350, KeyData!A:C,1,FALSE)</f>
        <v>#N/A</v>
      </c>
      <c r="P350" s="439"/>
    </row>
    <row r="351" spans="1:16" x14ac:dyDescent="0.25">
      <c r="A351" s="439" t="str">
        <f t="shared" si="5"/>
        <v>312002100_Result</v>
      </c>
      <c r="B351" s="1016" t="s">
        <v>1308</v>
      </c>
      <c r="C351" s="798" t="s">
        <v>473</v>
      </c>
      <c r="D351" s="824" t="s">
        <v>1129</v>
      </c>
      <c r="E351" s="822"/>
      <c r="F351" s="980"/>
      <c r="G351" s="980">
        <v>-48726.881999999998</v>
      </c>
      <c r="H351" s="980">
        <v>-63675.165999999997</v>
      </c>
      <c r="I351" s="980">
        <v>-100620.466</v>
      </c>
      <c r="J351" s="980">
        <v>-115328.442</v>
      </c>
      <c r="K351" s="980">
        <v>-116190.861</v>
      </c>
      <c r="L351" s="983">
        <v>-103718.55100000001</v>
      </c>
      <c r="M351" s="439"/>
      <c r="N351" t="str">
        <f>VLOOKUP(A351, 'P&amp;L'!A:B,1,FALSE)</f>
        <v>312002100_Result</v>
      </c>
      <c r="O351" t="e">
        <f>VLOOKUP(A351, KeyData!A:C,1,FALSE)</f>
        <v>#N/A</v>
      </c>
      <c r="P351" s="439"/>
    </row>
    <row r="352" spans="1:16" x14ac:dyDescent="0.25">
      <c r="A352" s="439" t="str">
        <f t="shared" si="5"/>
        <v>312200000_#</v>
      </c>
      <c r="B352" s="1009" t="s">
        <v>1309</v>
      </c>
      <c r="C352" s="797" t="s">
        <v>1310</v>
      </c>
      <c r="D352" s="794" t="s">
        <v>1215</v>
      </c>
      <c r="E352" s="794" t="s">
        <v>1216</v>
      </c>
      <c r="F352" s="979"/>
      <c r="G352" s="979">
        <v>-165365.622</v>
      </c>
      <c r="H352" s="979">
        <v>-179176.00399999999</v>
      </c>
      <c r="I352" s="979">
        <v>-331080.86200000002</v>
      </c>
      <c r="J352" s="979">
        <v>-368202.63900000002</v>
      </c>
      <c r="K352" s="979">
        <v>-365776.37400000001</v>
      </c>
      <c r="L352" s="982">
        <v>-472691.17599999998</v>
      </c>
      <c r="M352" s="439"/>
      <c r="N352" t="e">
        <f>VLOOKUP(A352, 'P&amp;L'!A:B,1,FALSE)</f>
        <v>#N/A</v>
      </c>
      <c r="O352" t="e">
        <f>VLOOKUP(A352, KeyData!A:C,1,FALSE)</f>
        <v>#N/A</v>
      </c>
      <c r="P352" s="439"/>
    </row>
    <row r="353" spans="1:16" x14ac:dyDescent="0.25">
      <c r="A353" s="439" t="str">
        <f t="shared" si="5"/>
        <v>312200000_Result</v>
      </c>
      <c r="B353" s="1009" t="s">
        <v>1309</v>
      </c>
      <c r="C353" s="797" t="s">
        <v>1310</v>
      </c>
      <c r="D353" s="824" t="s">
        <v>1129</v>
      </c>
      <c r="E353" s="822"/>
      <c r="F353" s="980"/>
      <c r="G353" s="980">
        <v>-165365.622</v>
      </c>
      <c r="H353" s="980">
        <v>-179176.00399999999</v>
      </c>
      <c r="I353" s="980">
        <v>-331080.86200000002</v>
      </c>
      <c r="J353" s="980">
        <v>-368202.63900000002</v>
      </c>
      <c r="K353" s="980">
        <v>-365776.37400000001</v>
      </c>
      <c r="L353" s="983">
        <v>-472691.17599999998</v>
      </c>
      <c r="M353" s="439"/>
      <c r="N353" t="str">
        <f>VLOOKUP(A353, 'P&amp;L'!A:B,1,FALSE)</f>
        <v>312200000_Result</v>
      </c>
      <c r="O353" t="e">
        <f>VLOOKUP(A353, KeyData!A:C,1,FALSE)</f>
        <v>#N/A</v>
      </c>
      <c r="P353" s="439"/>
    </row>
    <row r="354" spans="1:16" x14ac:dyDescent="0.25">
      <c r="A354" s="439" t="str">
        <f t="shared" si="5"/>
        <v>312201100_#</v>
      </c>
      <c r="B354" s="1016" t="s">
        <v>1311</v>
      </c>
      <c r="C354" s="798" t="s">
        <v>1312</v>
      </c>
      <c r="D354" s="794" t="s">
        <v>1215</v>
      </c>
      <c r="E354" s="794" t="s">
        <v>1216</v>
      </c>
      <c r="F354" s="979"/>
      <c r="G354" s="979">
        <v>-165365.622</v>
      </c>
      <c r="H354" s="979">
        <v>-179176.00399999999</v>
      </c>
      <c r="I354" s="979">
        <v>-331080.86200000002</v>
      </c>
      <c r="J354" s="979">
        <v>-368202.63900000002</v>
      </c>
      <c r="K354" s="979">
        <v>-365776.37400000001</v>
      </c>
      <c r="L354" s="982">
        <v>-472691.17599999998</v>
      </c>
      <c r="M354" s="439"/>
      <c r="N354" t="e">
        <f>VLOOKUP(A354, 'P&amp;L'!A:B,1,FALSE)</f>
        <v>#N/A</v>
      </c>
      <c r="O354" t="e">
        <f>VLOOKUP(A354, KeyData!A:C,1,FALSE)</f>
        <v>#N/A</v>
      </c>
      <c r="P354" s="439"/>
    </row>
    <row r="355" spans="1:16" x14ac:dyDescent="0.25">
      <c r="A355" s="439" t="str">
        <f t="shared" si="5"/>
        <v>312201100_Result</v>
      </c>
      <c r="B355" s="1016" t="s">
        <v>1311</v>
      </c>
      <c r="C355" s="798" t="s">
        <v>1312</v>
      </c>
      <c r="D355" s="824" t="s">
        <v>1129</v>
      </c>
      <c r="E355" s="822"/>
      <c r="F355" s="980"/>
      <c r="G355" s="980">
        <v>-165365.622</v>
      </c>
      <c r="H355" s="980">
        <v>-179176.00399999999</v>
      </c>
      <c r="I355" s="980">
        <v>-331080.86200000002</v>
      </c>
      <c r="J355" s="980">
        <v>-368202.63900000002</v>
      </c>
      <c r="K355" s="980">
        <v>-365776.37400000001</v>
      </c>
      <c r="L355" s="983">
        <v>-472691.17599999998</v>
      </c>
      <c r="M355" s="439"/>
      <c r="N355" t="str">
        <f>VLOOKUP(A355, 'P&amp;L'!A:B,1,FALSE)</f>
        <v>312201100_Result</v>
      </c>
      <c r="O355" t="e">
        <f>VLOOKUP(A355, KeyData!A:C,1,FALSE)</f>
        <v>#N/A</v>
      </c>
      <c r="P355" s="439"/>
    </row>
    <row r="356" spans="1:16" x14ac:dyDescent="0.25">
      <c r="A356" s="439" t="str">
        <f t="shared" si="5"/>
        <v>312500000_#</v>
      </c>
      <c r="B356" s="1009" t="s">
        <v>1313</v>
      </c>
      <c r="C356" s="797" t="s">
        <v>1314</v>
      </c>
      <c r="D356" s="794" t="s">
        <v>1215</v>
      </c>
      <c r="E356" s="794" t="s">
        <v>1216</v>
      </c>
      <c r="F356" s="979"/>
      <c r="G356" s="979">
        <v>-5669.6130000000003</v>
      </c>
      <c r="H356" s="979">
        <v>-30000.673999999999</v>
      </c>
      <c r="I356" s="979"/>
      <c r="J356" s="979">
        <v>-31812.651000000002</v>
      </c>
      <c r="K356" s="979">
        <v>31867.175999999999</v>
      </c>
      <c r="L356" s="982"/>
      <c r="M356" s="439"/>
      <c r="N356" t="e">
        <f>VLOOKUP(A356, 'P&amp;L'!A:B,1,FALSE)</f>
        <v>#N/A</v>
      </c>
      <c r="O356" t="e">
        <f>VLOOKUP(A356, KeyData!A:C,1,FALSE)</f>
        <v>#N/A</v>
      </c>
      <c r="P356" s="439"/>
    </row>
    <row r="357" spans="1:16" x14ac:dyDescent="0.25">
      <c r="A357" s="439" t="str">
        <f t="shared" si="5"/>
        <v>312500000_Result</v>
      </c>
      <c r="B357" s="1009" t="s">
        <v>1313</v>
      </c>
      <c r="C357" s="797" t="s">
        <v>1314</v>
      </c>
      <c r="D357" s="824" t="s">
        <v>1129</v>
      </c>
      <c r="E357" s="822"/>
      <c r="F357" s="980"/>
      <c r="G357" s="980">
        <v>-5669.6130000000003</v>
      </c>
      <c r="H357" s="980">
        <v>-30000.673999999999</v>
      </c>
      <c r="I357" s="980"/>
      <c r="J357" s="980">
        <v>-31812.651000000002</v>
      </c>
      <c r="K357" s="980">
        <v>31867.175999999999</v>
      </c>
      <c r="L357" s="983"/>
      <c r="M357" s="439"/>
      <c r="N357" t="str">
        <f>VLOOKUP(A357, 'P&amp;L'!A:B,1,FALSE)</f>
        <v>312500000_Result</v>
      </c>
      <c r="O357" t="e">
        <f>VLOOKUP(A357, KeyData!A:C,1,FALSE)</f>
        <v>#N/A</v>
      </c>
      <c r="P357" s="439"/>
    </row>
    <row r="358" spans="1:16" x14ac:dyDescent="0.25">
      <c r="A358" s="439" t="str">
        <f t="shared" si="5"/>
        <v>312501600_#</v>
      </c>
      <c r="B358" s="1016" t="s">
        <v>1315</v>
      </c>
      <c r="C358" s="798" t="s">
        <v>1316</v>
      </c>
      <c r="D358" s="794" t="s">
        <v>1215</v>
      </c>
      <c r="E358" s="794" t="s">
        <v>1216</v>
      </c>
      <c r="F358" s="979"/>
      <c r="G358" s="979">
        <v>-5367.4539999999997</v>
      </c>
      <c r="H358" s="979">
        <v>165.38200000000001</v>
      </c>
      <c r="I358" s="979"/>
      <c r="J358" s="979">
        <v>-1021.966</v>
      </c>
      <c r="K358" s="979">
        <v>-1021.966</v>
      </c>
      <c r="L358" s="982"/>
      <c r="M358" s="439"/>
      <c r="N358" t="e">
        <f>VLOOKUP(A358, 'P&amp;L'!A:B,1,FALSE)</f>
        <v>#N/A</v>
      </c>
      <c r="O358" t="e">
        <f>VLOOKUP(A358, KeyData!A:C,1,FALSE)</f>
        <v>#N/A</v>
      </c>
      <c r="P358" s="439"/>
    </row>
    <row r="359" spans="1:16" x14ac:dyDescent="0.25">
      <c r="A359" s="439" t="str">
        <f t="shared" si="5"/>
        <v>312501600_Result</v>
      </c>
      <c r="B359" s="1016" t="s">
        <v>1315</v>
      </c>
      <c r="C359" s="798" t="s">
        <v>1316</v>
      </c>
      <c r="D359" s="824" t="s">
        <v>1129</v>
      </c>
      <c r="E359" s="822"/>
      <c r="F359" s="980"/>
      <c r="G359" s="980">
        <v>-5367.4539999999997</v>
      </c>
      <c r="H359" s="980">
        <v>165.38200000000001</v>
      </c>
      <c r="I359" s="980"/>
      <c r="J359" s="980">
        <v>-1021.966</v>
      </c>
      <c r="K359" s="980">
        <v>-1021.966</v>
      </c>
      <c r="L359" s="983"/>
      <c r="M359" s="439"/>
      <c r="N359" t="str">
        <f>VLOOKUP(A359, 'P&amp;L'!A:B,1,FALSE)</f>
        <v>312501600_Result</v>
      </c>
      <c r="O359" t="e">
        <f>VLOOKUP(A359, KeyData!A:C,1,FALSE)</f>
        <v>#N/A</v>
      </c>
      <c r="P359" s="439"/>
    </row>
    <row r="360" spans="1:16" x14ac:dyDescent="0.25">
      <c r="A360" s="439" t="str">
        <f t="shared" si="5"/>
        <v>312503300_#</v>
      </c>
      <c r="B360" s="1010" t="s">
        <v>1317</v>
      </c>
      <c r="C360" s="798" t="s">
        <v>1318</v>
      </c>
      <c r="D360" s="794" t="s">
        <v>1215</v>
      </c>
      <c r="E360" s="794" t="s">
        <v>1216</v>
      </c>
      <c r="F360" s="979"/>
      <c r="G360" s="979">
        <v>-61967.267</v>
      </c>
      <c r="H360" s="979">
        <v>-29397.42</v>
      </c>
      <c r="I360" s="979"/>
      <c r="J360" s="979">
        <v>-29397.422999999999</v>
      </c>
      <c r="K360" s="979">
        <v>34282.404000000002</v>
      </c>
      <c r="L360" s="982"/>
      <c r="M360" s="439"/>
      <c r="N360" t="e">
        <f>VLOOKUP(A360, 'P&amp;L'!A:B,1,FALSE)</f>
        <v>#N/A</v>
      </c>
      <c r="O360" t="e">
        <f>VLOOKUP(A360, KeyData!A:C,1,FALSE)</f>
        <v>#N/A</v>
      </c>
      <c r="P360" s="439"/>
    </row>
    <row r="361" spans="1:16" x14ac:dyDescent="0.25">
      <c r="A361" s="439" t="str">
        <f t="shared" si="5"/>
        <v>312503300_Result</v>
      </c>
      <c r="B361" s="1010" t="s">
        <v>1317</v>
      </c>
      <c r="C361" s="798" t="s">
        <v>1318</v>
      </c>
      <c r="D361" s="824" t="s">
        <v>1129</v>
      </c>
      <c r="E361" s="822"/>
      <c r="F361" s="980"/>
      <c r="G361" s="980">
        <v>-61967.267</v>
      </c>
      <c r="H361" s="980">
        <v>-29397.42</v>
      </c>
      <c r="I361" s="980"/>
      <c r="J361" s="980">
        <v>-29397.422999999999</v>
      </c>
      <c r="K361" s="980">
        <v>34282.404000000002</v>
      </c>
      <c r="L361" s="983"/>
      <c r="M361" s="439"/>
      <c r="N361" t="str">
        <f>VLOOKUP(A361, 'P&amp;L'!A:B,1,FALSE)</f>
        <v>312503300_Result</v>
      </c>
      <c r="O361" t="e">
        <f>VLOOKUP(A361, KeyData!A:C,1,FALSE)</f>
        <v>#N/A</v>
      </c>
      <c r="P361" s="439"/>
    </row>
    <row r="362" spans="1:16" x14ac:dyDescent="0.25">
      <c r="A362" s="439" t="str">
        <f t="shared" si="5"/>
        <v>312503311_#</v>
      </c>
      <c r="B362" s="601" t="s">
        <v>1319</v>
      </c>
      <c r="C362" s="825" t="s">
        <v>925</v>
      </c>
      <c r="D362" s="794" t="s">
        <v>1215</v>
      </c>
      <c r="E362" s="794" t="s">
        <v>1216</v>
      </c>
      <c r="F362" s="979"/>
      <c r="G362" s="979">
        <v>-61967.267</v>
      </c>
      <c r="H362" s="979">
        <v>-29397.42</v>
      </c>
      <c r="I362" s="979"/>
      <c r="J362" s="979">
        <v>-29397.422999999999</v>
      </c>
      <c r="K362" s="979">
        <v>34282.404000000002</v>
      </c>
      <c r="L362" s="982"/>
      <c r="M362" s="439"/>
      <c r="N362" t="e">
        <f>VLOOKUP(A362, 'P&amp;L'!A:B,1,FALSE)</f>
        <v>#N/A</v>
      </c>
      <c r="O362" t="e">
        <f>VLOOKUP(A362, KeyData!A:C,1,FALSE)</f>
        <v>#N/A</v>
      </c>
      <c r="P362" s="439"/>
    </row>
    <row r="363" spans="1:16" x14ac:dyDescent="0.25">
      <c r="A363" s="439" t="str">
        <f t="shared" si="5"/>
        <v>312503311_Result</v>
      </c>
      <c r="B363" s="601" t="s">
        <v>1319</v>
      </c>
      <c r="C363" s="825" t="s">
        <v>925</v>
      </c>
      <c r="D363" s="824" t="s">
        <v>1129</v>
      </c>
      <c r="E363" s="822"/>
      <c r="F363" s="980"/>
      <c r="G363" s="980">
        <v>-61967.267</v>
      </c>
      <c r="H363" s="980">
        <v>-29397.42</v>
      </c>
      <c r="I363" s="980"/>
      <c r="J363" s="980">
        <v>-29397.422999999999</v>
      </c>
      <c r="K363" s="980">
        <v>34282.404000000002</v>
      </c>
      <c r="L363" s="983"/>
      <c r="M363" s="439"/>
      <c r="N363" t="str">
        <f>VLOOKUP(A363, 'P&amp;L'!A:B,1,FALSE)</f>
        <v>312503311_Result</v>
      </c>
      <c r="O363" t="e">
        <f>VLOOKUP(A363, KeyData!A:C,1,FALSE)</f>
        <v>#N/A</v>
      </c>
      <c r="P363" s="439"/>
    </row>
    <row r="364" spans="1:16" x14ac:dyDescent="0.25">
      <c r="A364" s="439" t="str">
        <f t="shared" si="5"/>
        <v>312503400_#</v>
      </c>
      <c r="B364" s="1010" t="s">
        <v>1320</v>
      </c>
      <c r="C364" s="798" t="s">
        <v>931</v>
      </c>
      <c r="D364" s="794" t="s">
        <v>1215</v>
      </c>
      <c r="E364" s="794" t="s">
        <v>1216</v>
      </c>
      <c r="F364" s="979"/>
      <c r="G364" s="979">
        <v>79.322000000000003</v>
      </c>
      <c r="H364" s="979"/>
      <c r="I364" s="979"/>
      <c r="J364" s="979"/>
      <c r="K364" s="979"/>
      <c r="L364" s="982"/>
      <c r="M364" s="439"/>
      <c r="N364" t="e">
        <f>VLOOKUP(A364, 'P&amp;L'!A:B,1,FALSE)</f>
        <v>#N/A</v>
      </c>
      <c r="O364" t="e">
        <f>VLOOKUP(A364, KeyData!A:C,1,FALSE)</f>
        <v>#N/A</v>
      </c>
      <c r="P364" s="439"/>
    </row>
    <row r="365" spans="1:16" x14ac:dyDescent="0.25">
      <c r="A365" s="439" t="str">
        <f t="shared" si="5"/>
        <v>312503400_Result</v>
      </c>
      <c r="B365" s="1010" t="s">
        <v>1320</v>
      </c>
      <c r="C365" s="798" t="s">
        <v>931</v>
      </c>
      <c r="D365" s="824" t="s">
        <v>1129</v>
      </c>
      <c r="E365" s="822"/>
      <c r="F365" s="980"/>
      <c r="G365" s="980">
        <v>79.322000000000003</v>
      </c>
      <c r="H365" s="980"/>
      <c r="I365" s="980"/>
      <c r="J365" s="980"/>
      <c r="K365" s="980"/>
      <c r="L365" s="983"/>
      <c r="M365" s="439"/>
      <c r="N365" t="str">
        <f>VLOOKUP(A365, 'P&amp;L'!A:B,1,FALSE)</f>
        <v>312503400_Result</v>
      </c>
      <c r="O365" t="e">
        <f>VLOOKUP(A365, KeyData!A:C,1,FALSE)</f>
        <v>#N/A</v>
      </c>
      <c r="P365" s="439"/>
    </row>
    <row r="366" spans="1:16" x14ac:dyDescent="0.25">
      <c r="A366" s="439" t="str">
        <f t="shared" si="5"/>
        <v>312503433_#</v>
      </c>
      <c r="B366" s="601" t="s">
        <v>1321</v>
      </c>
      <c r="C366" s="825" t="s">
        <v>949</v>
      </c>
      <c r="D366" s="794" t="s">
        <v>1215</v>
      </c>
      <c r="E366" s="794" t="s">
        <v>1216</v>
      </c>
      <c r="F366" s="979"/>
      <c r="G366" s="979">
        <v>72.3</v>
      </c>
      <c r="H366" s="979"/>
      <c r="I366" s="979"/>
      <c r="J366" s="979"/>
      <c r="K366" s="979"/>
      <c r="L366" s="982"/>
      <c r="M366" s="439"/>
      <c r="N366" t="e">
        <f>VLOOKUP(A366, 'P&amp;L'!A:B,1,FALSE)</f>
        <v>#N/A</v>
      </c>
      <c r="O366" t="e">
        <f>VLOOKUP(A366, KeyData!A:C,1,FALSE)</f>
        <v>#N/A</v>
      </c>
      <c r="P366" s="439"/>
    </row>
    <row r="367" spans="1:16" x14ac:dyDescent="0.25">
      <c r="A367" s="439" t="str">
        <f t="shared" si="5"/>
        <v>312503433_Result</v>
      </c>
      <c r="B367" s="601" t="s">
        <v>1321</v>
      </c>
      <c r="C367" s="825" t="s">
        <v>949</v>
      </c>
      <c r="D367" s="824" t="s">
        <v>1129</v>
      </c>
      <c r="E367" s="822"/>
      <c r="F367" s="980"/>
      <c r="G367" s="980">
        <v>72.3</v>
      </c>
      <c r="H367" s="980"/>
      <c r="I367" s="980"/>
      <c r="J367" s="980"/>
      <c r="K367" s="980"/>
      <c r="L367" s="983"/>
      <c r="M367" s="439"/>
      <c r="N367" t="str">
        <f>VLOOKUP(A367, 'P&amp;L'!A:B,1,FALSE)</f>
        <v>312503433_Result</v>
      </c>
      <c r="O367" t="e">
        <f>VLOOKUP(A367, KeyData!A:C,1,FALSE)</f>
        <v>#N/A</v>
      </c>
      <c r="P367" s="439"/>
    </row>
    <row r="368" spans="1:16" x14ac:dyDescent="0.25">
      <c r="A368" s="439" t="str">
        <f t="shared" si="5"/>
        <v>312503434_#</v>
      </c>
      <c r="B368" s="601" t="s">
        <v>1322</v>
      </c>
      <c r="C368" s="825" t="s">
        <v>951</v>
      </c>
      <c r="D368" s="794" t="s">
        <v>1215</v>
      </c>
      <c r="E368" s="794" t="s">
        <v>1216</v>
      </c>
      <c r="F368" s="979"/>
      <c r="G368" s="979">
        <v>7.0220000000000002</v>
      </c>
      <c r="H368" s="979"/>
      <c r="I368" s="979"/>
      <c r="J368" s="979"/>
      <c r="K368" s="979"/>
      <c r="L368" s="982"/>
      <c r="M368" s="439"/>
      <c r="N368" t="e">
        <f>VLOOKUP(A368, 'P&amp;L'!A:B,1,FALSE)</f>
        <v>#N/A</v>
      </c>
      <c r="O368" t="e">
        <f>VLOOKUP(A368, KeyData!A:C,1,FALSE)</f>
        <v>#N/A</v>
      </c>
      <c r="P368" s="439"/>
    </row>
    <row r="369" spans="1:16" x14ac:dyDescent="0.25">
      <c r="A369" s="439" t="str">
        <f t="shared" si="5"/>
        <v>312503434_Result</v>
      </c>
      <c r="B369" s="601" t="s">
        <v>1322</v>
      </c>
      <c r="C369" s="825" t="s">
        <v>951</v>
      </c>
      <c r="D369" s="824" t="s">
        <v>1129</v>
      </c>
      <c r="E369" s="822"/>
      <c r="F369" s="980"/>
      <c r="G369" s="980">
        <v>7.0220000000000002</v>
      </c>
      <c r="H369" s="980"/>
      <c r="I369" s="980"/>
      <c r="J369" s="980"/>
      <c r="K369" s="980"/>
      <c r="L369" s="983"/>
      <c r="M369" s="439"/>
      <c r="N369" t="str">
        <f>VLOOKUP(A369, 'P&amp;L'!A:B,1,FALSE)</f>
        <v>312503434_Result</v>
      </c>
      <c r="O369" t="e">
        <f>VLOOKUP(A369, KeyData!A:C,1,FALSE)</f>
        <v>#N/A</v>
      </c>
      <c r="P369" s="439"/>
    </row>
    <row r="370" spans="1:16" x14ac:dyDescent="0.25">
      <c r="A370" s="439" t="str">
        <f t="shared" si="5"/>
        <v>312504000_#</v>
      </c>
      <c r="B370" s="1010" t="s">
        <v>1323</v>
      </c>
      <c r="C370" s="798" t="s">
        <v>1324</v>
      </c>
      <c r="D370" s="794" t="s">
        <v>1215</v>
      </c>
      <c r="E370" s="794" t="s">
        <v>1216</v>
      </c>
      <c r="F370" s="979"/>
      <c r="G370" s="979">
        <v>43665.038</v>
      </c>
      <c r="H370" s="979">
        <v>-1420.922</v>
      </c>
      <c r="I370" s="979"/>
      <c r="J370" s="979">
        <v>-1420.922</v>
      </c>
      <c r="K370" s="979">
        <v>-1420.922</v>
      </c>
      <c r="L370" s="982"/>
      <c r="M370" s="439"/>
      <c r="N370" t="e">
        <f>VLOOKUP(A370, 'P&amp;L'!A:B,1,FALSE)</f>
        <v>#N/A</v>
      </c>
      <c r="O370" t="e">
        <f>VLOOKUP(A370, KeyData!A:C,1,FALSE)</f>
        <v>#N/A</v>
      </c>
      <c r="P370" s="439"/>
    </row>
    <row r="371" spans="1:16" x14ac:dyDescent="0.25">
      <c r="A371" s="439" t="str">
        <f t="shared" si="5"/>
        <v>312504000_Result</v>
      </c>
      <c r="B371" s="1010" t="s">
        <v>1323</v>
      </c>
      <c r="C371" s="798" t="s">
        <v>1324</v>
      </c>
      <c r="D371" s="824" t="s">
        <v>1129</v>
      </c>
      <c r="E371" s="822"/>
      <c r="F371" s="980"/>
      <c r="G371" s="980">
        <v>43665.038</v>
      </c>
      <c r="H371" s="980">
        <v>-1420.922</v>
      </c>
      <c r="I371" s="980"/>
      <c r="J371" s="980">
        <v>-1420.922</v>
      </c>
      <c r="K371" s="980">
        <v>-1420.922</v>
      </c>
      <c r="L371" s="983"/>
      <c r="M371" s="439"/>
      <c r="N371" t="str">
        <f>VLOOKUP(A371, 'P&amp;L'!A:B,1,FALSE)</f>
        <v>312504000_Result</v>
      </c>
      <c r="O371" t="e">
        <f>VLOOKUP(A371, KeyData!A:C,1,FALSE)</f>
        <v>#N/A</v>
      </c>
      <c r="P371" s="439"/>
    </row>
    <row r="372" spans="1:16" x14ac:dyDescent="0.25">
      <c r="A372" s="439" t="str">
        <f t="shared" si="5"/>
        <v>312504500_#</v>
      </c>
      <c r="B372" s="601" t="s">
        <v>1325</v>
      </c>
      <c r="C372" s="825" t="s">
        <v>1326</v>
      </c>
      <c r="D372" s="794" t="s">
        <v>1215</v>
      </c>
      <c r="E372" s="794" t="s">
        <v>1216</v>
      </c>
      <c r="F372" s="979"/>
      <c r="G372" s="979">
        <v>43665.038</v>
      </c>
      <c r="H372" s="979">
        <v>-1420.922</v>
      </c>
      <c r="I372" s="979"/>
      <c r="J372" s="979">
        <v>-1420.922</v>
      </c>
      <c r="K372" s="979">
        <v>-1420.922</v>
      </c>
      <c r="L372" s="982"/>
      <c r="M372" s="439"/>
      <c r="N372" t="e">
        <f>VLOOKUP(A372, 'P&amp;L'!A:B,1,FALSE)</f>
        <v>#N/A</v>
      </c>
      <c r="O372" t="e">
        <f>VLOOKUP(A372, KeyData!A:C,1,FALSE)</f>
        <v>#N/A</v>
      </c>
      <c r="P372" s="439"/>
    </row>
    <row r="373" spans="1:16" x14ac:dyDescent="0.25">
      <c r="A373" s="439" t="str">
        <f t="shared" si="5"/>
        <v>312504500_Result</v>
      </c>
      <c r="B373" s="601" t="s">
        <v>1325</v>
      </c>
      <c r="C373" s="825" t="s">
        <v>1326</v>
      </c>
      <c r="D373" s="824" t="s">
        <v>1129</v>
      </c>
      <c r="E373" s="822"/>
      <c r="F373" s="980"/>
      <c r="G373" s="980">
        <v>43665.038</v>
      </c>
      <c r="H373" s="980">
        <v>-1420.922</v>
      </c>
      <c r="I373" s="980"/>
      <c r="J373" s="980">
        <v>-1420.922</v>
      </c>
      <c r="K373" s="980">
        <v>-1420.922</v>
      </c>
      <c r="L373" s="983"/>
      <c r="M373" s="439"/>
      <c r="N373" t="str">
        <f>VLOOKUP(A373, 'P&amp;L'!A:B,1,FALSE)</f>
        <v>312504500_Result</v>
      </c>
      <c r="O373" t="e">
        <f>VLOOKUP(A373, KeyData!A:C,1,FALSE)</f>
        <v>#N/A</v>
      </c>
      <c r="P373" s="439"/>
    </row>
    <row r="374" spans="1:16" x14ac:dyDescent="0.25">
      <c r="A374" s="439" t="str">
        <f t="shared" si="5"/>
        <v>312507000_#</v>
      </c>
      <c r="B374" s="1010" t="s">
        <v>1327</v>
      </c>
      <c r="C374" s="798" t="s">
        <v>1328</v>
      </c>
      <c r="D374" s="794" t="s">
        <v>1215</v>
      </c>
      <c r="E374" s="794" t="s">
        <v>1216</v>
      </c>
      <c r="F374" s="979"/>
      <c r="G374" s="979">
        <v>17920.748</v>
      </c>
      <c r="H374" s="979">
        <v>652.28599999999994</v>
      </c>
      <c r="I374" s="979"/>
      <c r="J374" s="979">
        <v>27.66</v>
      </c>
      <c r="K374" s="979">
        <v>27.66</v>
      </c>
      <c r="L374" s="982"/>
      <c r="M374" s="439"/>
      <c r="N374" t="e">
        <f>VLOOKUP(A374, 'P&amp;L'!A:B,1,FALSE)</f>
        <v>#N/A</v>
      </c>
      <c r="O374" t="e">
        <f>VLOOKUP(A374, KeyData!A:C,1,FALSE)</f>
        <v>#N/A</v>
      </c>
      <c r="P374" s="439"/>
    </row>
    <row r="375" spans="1:16" x14ac:dyDescent="0.25">
      <c r="A375" s="439" t="str">
        <f t="shared" si="5"/>
        <v>312507000_Result</v>
      </c>
      <c r="B375" s="1010" t="s">
        <v>1327</v>
      </c>
      <c r="C375" s="798" t="s">
        <v>1328</v>
      </c>
      <c r="D375" s="824" t="s">
        <v>1129</v>
      </c>
      <c r="E375" s="822"/>
      <c r="F375" s="980"/>
      <c r="G375" s="980">
        <v>17920.748</v>
      </c>
      <c r="H375" s="980">
        <v>652.28599999999994</v>
      </c>
      <c r="I375" s="980"/>
      <c r="J375" s="980">
        <v>27.66</v>
      </c>
      <c r="K375" s="980">
        <v>27.66</v>
      </c>
      <c r="L375" s="983"/>
      <c r="M375" s="439"/>
      <c r="N375" t="str">
        <f>VLOOKUP(A375, 'P&amp;L'!A:B,1,FALSE)</f>
        <v>312507000_Result</v>
      </c>
      <c r="O375" t="e">
        <f>VLOOKUP(A375, KeyData!A:C,1,FALSE)</f>
        <v>#N/A</v>
      </c>
      <c r="P375" s="439"/>
    </row>
    <row r="376" spans="1:16" x14ac:dyDescent="0.25">
      <c r="A376" s="439" t="str">
        <f t="shared" si="5"/>
        <v>312507600_#</v>
      </c>
      <c r="B376" s="601" t="s">
        <v>1329</v>
      </c>
      <c r="C376" s="825" t="s">
        <v>1330</v>
      </c>
      <c r="D376" s="794" t="s">
        <v>1215</v>
      </c>
      <c r="E376" s="794" t="s">
        <v>1216</v>
      </c>
      <c r="F376" s="979"/>
      <c r="G376" s="979">
        <v>-603.226</v>
      </c>
      <c r="H376" s="979">
        <v>-8.4489999999999998</v>
      </c>
      <c r="I376" s="979"/>
      <c r="J376" s="979">
        <v>-3.802</v>
      </c>
      <c r="K376" s="979">
        <v>-3.802</v>
      </c>
      <c r="L376" s="982"/>
      <c r="M376" s="439"/>
      <c r="N376" t="e">
        <f>VLOOKUP(A376, 'P&amp;L'!A:B,1,FALSE)</f>
        <v>#N/A</v>
      </c>
      <c r="O376" t="e">
        <f>VLOOKUP(A376, KeyData!A:C,1,FALSE)</f>
        <v>#N/A</v>
      </c>
      <c r="P376" s="439"/>
    </row>
    <row r="377" spans="1:16" x14ac:dyDescent="0.25">
      <c r="A377" s="439" t="str">
        <f t="shared" si="5"/>
        <v>312507600_Result</v>
      </c>
      <c r="B377" s="601" t="s">
        <v>1329</v>
      </c>
      <c r="C377" s="825" t="s">
        <v>1330</v>
      </c>
      <c r="D377" s="824" t="s">
        <v>1129</v>
      </c>
      <c r="E377" s="822"/>
      <c r="F377" s="980"/>
      <c r="G377" s="980">
        <v>-603.226</v>
      </c>
      <c r="H377" s="980">
        <v>-8.4489999999999998</v>
      </c>
      <c r="I377" s="980"/>
      <c r="J377" s="980">
        <v>-3.802</v>
      </c>
      <c r="K377" s="980">
        <v>-3.802</v>
      </c>
      <c r="L377" s="983"/>
      <c r="M377" s="439"/>
      <c r="N377" t="str">
        <f>VLOOKUP(A377, 'P&amp;L'!A:B,1,FALSE)</f>
        <v>312507600_Result</v>
      </c>
      <c r="O377" t="e">
        <f>VLOOKUP(A377, KeyData!A:C,1,FALSE)</f>
        <v>#N/A</v>
      </c>
      <c r="P377" s="439"/>
    </row>
    <row r="378" spans="1:16" x14ac:dyDescent="0.25">
      <c r="A378" s="439" t="str">
        <f t="shared" si="5"/>
        <v>312508100_#</v>
      </c>
      <c r="B378" s="601" t="s">
        <v>1331</v>
      </c>
      <c r="C378" s="825" t="s">
        <v>1332</v>
      </c>
      <c r="D378" s="794" t="s">
        <v>1215</v>
      </c>
      <c r="E378" s="794" t="s">
        <v>1216</v>
      </c>
      <c r="F378" s="979"/>
      <c r="G378" s="979">
        <v>208.70699999999999</v>
      </c>
      <c r="H378" s="979">
        <v>423.452</v>
      </c>
      <c r="I378" s="979"/>
      <c r="J378" s="979">
        <v>31.462</v>
      </c>
      <c r="K378" s="979">
        <v>31.462</v>
      </c>
      <c r="L378" s="982"/>
      <c r="M378" s="439"/>
      <c r="N378" t="e">
        <f>VLOOKUP(A378, 'P&amp;L'!A:B,1,FALSE)</f>
        <v>#N/A</v>
      </c>
      <c r="O378" t="e">
        <f>VLOOKUP(A378, KeyData!A:C,1,FALSE)</f>
        <v>#N/A</v>
      </c>
      <c r="P378" s="439"/>
    </row>
    <row r="379" spans="1:16" x14ac:dyDescent="0.25">
      <c r="A379" s="439" t="str">
        <f t="shared" si="5"/>
        <v>312508100_Result</v>
      </c>
      <c r="B379" s="601" t="s">
        <v>1331</v>
      </c>
      <c r="C379" s="825" t="s">
        <v>1332</v>
      </c>
      <c r="D379" s="824" t="s">
        <v>1129</v>
      </c>
      <c r="E379" s="822"/>
      <c r="F379" s="980"/>
      <c r="G379" s="980">
        <v>208.70699999999999</v>
      </c>
      <c r="H379" s="980">
        <v>423.452</v>
      </c>
      <c r="I379" s="980"/>
      <c r="J379" s="980">
        <v>31.462</v>
      </c>
      <c r="K379" s="980">
        <v>31.462</v>
      </c>
      <c r="L379" s="983"/>
      <c r="M379" s="439"/>
      <c r="N379" t="str">
        <f>VLOOKUP(A379, 'P&amp;L'!A:B,1,FALSE)</f>
        <v>312508100_Result</v>
      </c>
      <c r="O379" t="e">
        <f>VLOOKUP(A379, KeyData!A:C,1,FALSE)</f>
        <v>#N/A</v>
      </c>
      <c r="P379" s="439"/>
    </row>
    <row r="380" spans="1:16" x14ac:dyDescent="0.25">
      <c r="A380" s="439" t="str">
        <f t="shared" si="5"/>
        <v>312508300_#</v>
      </c>
      <c r="B380" s="601" t="s">
        <v>1333</v>
      </c>
      <c r="C380" s="825" t="s">
        <v>1334</v>
      </c>
      <c r="D380" s="794" t="s">
        <v>1215</v>
      </c>
      <c r="E380" s="794" t="s">
        <v>1216</v>
      </c>
      <c r="F380" s="979"/>
      <c r="G380" s="979">
        <v>18315.267</v>
      </c>
      <c r="H380" s="979">
        <v>237.28299999999999</v>
      </c>
      <c r="I380" s="979"/>
      <c r="J380" s="979"/>
      <c r="K380" s="979"/>
      <c r="L380" s="982"/>
      <c r="M380" s="439"/>
      <c r="N380" t="e">
        <f>VLOOKUP(A380, 'P&amp;L'!A:B,1,FALSE)</f>
        <v>#N/A</v>
      </c>
      <c r="O380" t="e">
        <f>VLOOKUP(A380, KeyData!A:C,1,FALSE)</f>
        <v>#N/A</v>
      </c>
      <c r="P380" s="439"/>
    </row>
    <row r="381" spans="1:16" x14ac:dyDescent="0.25">
      <c r="A381" s="439" t="str">
        <f t="shared" si="5"/>
        <v>312508300_Result</v>
      </c>
      <c r="B381" s="601" t="s">
        <v>1333</v>
      </c>
      <c r="C381" s="825" t="s">
        <v>1334</v>
      </c>
      <c r="D381" s="824" t="s">
        <v>1129</v>
      </c>
      <c r="E381" s="822"/>
      <c r="F381" s="980"/>
      <c r="G381" s="980">
        <v>18315.267</v>
      </c>
      <c r="H381" s="980">
        <v>237.28299999999999</v>
      </c>
      <c r="I381" s="980"/>
      <c r="J381" s="980"/>
      <c r="K381" s="980"/>
      <c r="L381" s="983"/>
      <c r="M381" s="439"/>
      <c r="N381" t="str">
        <f>VLOOKUP(A381, 'P&amp;L'!A:B,1,FALSE)</f>
        <v>312508300_Result</v>
      </c>
      <c r="O381" t="e">
        <f>VLOOKUP(A381, KeyData!A:C,1,FALSE)</f>
        <v>#N/A</v>
      </c>
      <c r="P381" s="439"/>
    </row>
    <row r="382" spans="1:16" x14ac:dyDescent="0.25">
      <c r="A382" s="439" t="str">
        <f t="shared" si="5"/>
        <v>CO-010000000_#</v>
      </c>
      <c r="B382" s="1005" t="s">
        <v>1335</v>
      </c>
      <c r="C382" s="795" t="s">
        <v>1336</v>
      </c>
      <c r="D382" s="794" t="s">
        <v>1215</v>
      </c>
      <c r="E382" s="794" t="s">
        <v>1216</v>
      </c>
      <c r="F382" s="979"/>
      <c r="G382" s="979">
        <v>20</v>
      </c>
      <c r="H382" s="979">
        <v>27</v>
      </c>
      <c r="I382" s="979">
        <v>28</v>
      </c>
      <c r="J382" s="979">
        <v>28</v>
      </c>
      <c r="K382" s="979">
        <v>28</v>
      </c>
      <c r="L382" s="982">
        <v>31</v>
      </c>
      <c r="M382" s="439"/>
      <c r="N382" t="e">
        <f>VLOOKUP(A382, 'P&amp;L'!A:B,1,FALSE)</f>
        <v>#N/A</v>
      </c>
      <c r="O382" t="e">
        <f>VLOOKUP(A382, KeyData!A:C,1,FALSE)</f>
        <v>#N/A</v>
      </c>
      <c r="P382" s="439"/>
    </row>
    <row r="383" spans="1:16" x14ac:dyDescent="0.25">
      <c r="A383" s="439" t="str">
        <f t="shared" si="5"/>
        <v>CO-010000000_Result</v>
      </c>
      <c r="B383" s="1005" t="s">
        <v>1335</v>
      </c>
      <c r="C383" s="795" t="s">
        <v>1336</v>
      </c>
      <c r="D383" s="824" t="s">
        <v>1129</v>
      </c>
      <c r="E383" s="822"/>
      <c r="F383" s="980"/>
      <c r="G383" s="980">
        <v>20</v>
      </c>
      <c r="H383" s="980">
        <v>27</v>
      </c>
      <c r="I383" s="980">
        <v>28</v>
      </c>
      <c r="J383" s="980">
        <v>28</v>
      </c>
      <c r="K383" s="980">
        <v>28</v>
      </c>
      <c r="L383" s="983">
        <v>31</v>
      </c>
      <c r="M383" s="439"/>
      <c r="N383" t="e">
        <f>VLOOKUP(A383, 'P&amp;L'!A:B,1,FALSE)</f>
        <v>#N/A</v>
      </c>
      <c r="O383" t="e">
        <f>VLOOKUP(A383, KeyData!A:C,1,FALSE)</f>
        <v>#N/A</v>
      </c>
      <c r="P383" s="439"/>
    </row>
    <row r="384" spans="1:16" x14ac:dyDescent="0.25">
      <c r="A384" s="439" t="str">
        <f t="shared" si="5"/>
        <v>CO-010100000_#</v>
      </c>
      <c r="B384" s="1007" t="s">
        <v>1337</v>
      </c>
      <c r="C384" s="796" t="s">
        <v>1049</v>
      </c>
      <c r="D384" s="794" t="s">
        <v>1215</v>
      </c>
      <c r="E384" s="794" t="s">
        <v>1216</v>
      </c>
      <c r="F384" s="979"/>
      <c r="G384" s="979">
        <v>20</v>
      </c>
      <c r="H384" s="979">
        <v>27</v>
      </c>
      <c r="I384" s="979">
        <v>28</v>
      </c>
      <c r="J384" s="979">
        <v>28</v>
      </c>
      <c r="K384" s="979">
        <v>28</v>
      </c>
      <c r="L384" s="982">
        <v>31</v>
      </c>
      <c r="M384" s="439"/>
      <c r="N384" t="e">
        <f>VLOOKUP(A384, 'P&amp;L'!A:B,1,FALSE)</f>
        <v>#N/A</v>
      </c>
      <c r="O384" t="e">
        <f>VLOOKUP(A384, KeyData!A:C,1,FALSE)</f>
        <v>#N/A</v>
      </c>
      <c r="P384" s="439"/>
    </row>
    <row r="385" spans="1:16" x14ac:dyDescent="0.25">
      <c r="A385" s="439" t="str">
        <f t="shared" si="5"/>
        <v>CO-010100000_Result</v>
      </c>
      <c r="B385" s="1007" t="s">
        <v>1337</v>
      </c>
      <c r="C385" s="796" t="s">
        <v>1049</v>
      </c>
      <c r="D385" s="824" t="s">
        <v>1129</v>
      </c>
      <c r="E385" s="822"/>
      <c r="F385" s="980"/>
      <c r="G385" s="980">
        <v>20</v>
      </c>
      <c r="H385" s="980">
        <v>27</v>
      </c>
      <c r="I385" s="980">
        <v>28</v>
      </c>
      <c r="J385" s="980">
        <v>28</v>
      </c>
      <c r="K385" s="980">
        <v>28</v>
      </c>
      <c r="L385" s="983">
        <v>31</v>
      </c>
      <c r="M385" s="439"/>
      <c r="N385" t="e">
        <f>VLOOKUP(A385, 'P&amp;L'!A:B,1,FALSE)</f>
        <v>#N/A</v>
      </c>
      <c r="O385" t="str">
        <f>VLOOKUP(A385, KeyData!A:C,1,FALSE)</f>
        <v>CO-010100000_Result</v>
      </c>
      <c r="P385" s="439"/>
    </row>
    <row r="386" spans="1:16" x14ac:dyDescent="0.25">
      <c r="A386" s="439" t="str">
        <f t="shared" si="5"/>
        <v>CO-010101000_#</v>
      </c>
      <c r="B386" s="1009" t="s">
        <v>1338</v>
      </c>
      <c r="C386" s="797" t="s">
        <v>1033</v>
      </c>
      <c r="D386" s="794" t="s">
        <v>1215</v>
      </c>
      <c r="E386" s="794" t="s">
        <v>1216</v>
      </c>
      <c r="F386" s="979"/>
      <c r="G386" s="979">
        <v>15</v>
      </c>
      <c r="H386" s="979">
        <v>23</v>
      </c>
      <c r="I386" s="979">
        <v>23</v>
      </c>
      <c r="J386" s="979">
        <v>23</v>
      </c>
      <c r="K386" s="979">
        <v>23</v>
      </c>
      <c r="L386" s="982">
        <v>26</v>
      </c>
      <c r="M386" s="439"/>
      <c r="N386" t="e">
        <f>VLOOKUP(A386, 'P&amp;L'!A:B,1,FALSE)</f>
        <v>#N/A</v>
      </c>
      <c r="O386" t="e">
        <f>VLOOKUP(A386, KeyData!A:C,1,FALSE)</f>
        <v>#N/A</v>
      </c>
      <c r="P386" s="439"/>
    </row>
    <row r="387" spans="1:16" x14ac:dyDescent="0.25">
      <c r="A387" s="439" t="str">
        <f t="shared" ref="A387:A450" si="6" xml:space="preserve"> IFERROR(+B387*1,B387)&amp;"_"&amp;IFERROR(+D387*1,D387)</f>
        <v>CO-010101000_Result</v>
      </c>
      <c r="B387" s="1009" t="s">
        <v>1338</v>
      </c>
      <c r="C387" s="797" t="s">
        <v>1033</v>
      </c>
      <c r="D387" s="824" t="s">
        <v>1129</v>
      </c>
      <c r="E387" s="822"/>
      <c r="F387" s="980"/>
      <c r="G387" s="980">
        <v>15</v>
      </c>
      <c r="H387" s="980">
        <v>23</v>
      </c>
      <c r="I387" s="980">
        <v>23</v>
      </c>
      <c r="J387" s="980">
        <v>23</v>
      </c>
      <c r="K387" s="980">
        <v>23</v>
      </c>
      <c r="L387" s="983">
        <v>26</v>
      </c>
      <c r="M387" s="439"/>
      <c r="N387" t="e">
        <f>VLOOKUP(A387, 'P&amp;L'!A:B,1,FALSE)</f>
        <v>#N/A</v>
      </c>
      <c r="O387" t="str">
        <f>VLOOKUP(A387, KeyData!A:C,1,FALSE)</f>
        <v>CO-010101000_Result</v>
      </c>
      <c r="P387" s="439"/>
    </row>
    <row r="388" spans="1:16" x14ac:dyDescent="0.25">
      <c r="A388" s="439" t="str">
        <f t="shared" si="6"/>
        <v>CO-010101100_#</v>
      </c>
      <c r="B388" s="1016" t="s">
        <v>1339</v>
      </c>
      <c r="C388" s="798" t="s">
        <v>1041</v>
      </c>
      <c r="D388" s="794" t="s">
        <v>1215</v>
      </c>
      <c r="E388" s="794" t="s">
        <v>1216</v>
      </c>
      <c r="F388" s="979"/>
      <c r="G388" s="979">
        <v>15</v>
      </c>
      <c r="H388" s="979">
        <v>23</v>
      </c>
      <c r="I388" s="979">
        <v>23</v>
      </c>
      <c r="J388" s="979">
        <v>23</v>
      </c>
      <c r="K388" s="979">
        <v>23</v>
      </c>
      <c r="L388" s="982">
        <v>26</v>
      </c>
      <c r="M388" s="439"/>
      <c r="N388" t="e">
        <f>VLOOKUP(A388, 'P&amp;L'!A:B,1,FALSE)</f>
        <v>#N/A</v>
      </c>
      <c r="O388" t="e">
        <f>VLOOKUP(A388, KeyData!A:C,1,FALSE)</f>
        <v>#N/A</v>
      </c>
      <c r="P388" s="439"/>
    </row>
    <row r="389" spans="1:16" x14ac:dyDescent="0.25">
      <c r="A389" s="439" t="str">
        <f t="shared" si="6"/>
        <v>CO-010101100_Result</v>
      </c>
      <c r="B389" s="1016" t="s">
        <v>1339</v>
      </c>
      <c r="C389" s="798" t="s">
        <v>1041</v>
      </c>
      <c r="D389" s="824" t="s">
        <v>1129</v>
      </c>
      <c r="E389" s="822"/>
      <c r="F389" s="980"/>
      <c r="G389" s="980">
        <v>15</v>
      </c>
      <c r="H389" s="980">
        <v>23</v>
      </c>
      <c r="I389" s="980">
        <v>23</v>
      </c>
      <c r="J389" s="980">
        <v>23</v>
      </c>
      <c r="K389" s="980">
        <v>23</v>
      </c>
      <c r="L389" s="983">
        <v>26</v>
      </c>
      <c r="M389" s="439"/>
      <c r="N389" t="e">
        <f>VLOOKUP(A389, 'P&amp;L'!A:B,1,FALSE)</f>
        <v>#N/A</v>
      </c>
      <c r="O389" t="str">
        <f>VLOOKUP(A389, KeyData!A:C,1,FALSE)</f>
        <v>CO-010101100_Result</v>
      </c>
      <c r="P389" s="439"/>
    </row>
    <row r="390" spans="1:16" x14ac:dyDescent="0.25">
      <c r="A390" s="439" t="str">
        <f t="shared" si="6"/>
        <v>CO-010106000_#</v>
      </c>
      <c r="B390" s="1009" t="s">
        <v>1340</v>
      </c>
      <c r="C390" s="797" t="s">
        <v>1035</v>
      </c>
      <c r="D390" s="794" t="s">
        <v>1215</v>
      </c>
      <c r="E390" s="794" t="s">
        <v>1216</v>
      </c>
      <c r="F390" s="979"/>
      <c r="G390" s="979">
        <v>5</v>
      </c>
      <c r="H390" s="979">
        <v>4</v>
      </c>
      <c r="I390" s="979">
        <v>5</v>
      </c>
      <c r="J390" s="979">
        <v>5</v>
      </c>
      <c r="K390" s="979">
        <v>5</v>
      </c>
      <c r="L390" s="982">
        <v>5</v>
      </c>
      <c r="M390" s="439"/>
      <c r="N390" t="e">
        <f>VLOOKUP(A390, 'P&amp;L'!A:B,1,FALSE)</f>
        <v>#N/A</v>
      </c>
      <c r="O390" t="e">
        <f>VLOOKUP(A390, KeyData!A:C,1,FALSE)</f>
        <v>#N/A</v>
      </c>
      <c r="P390" s="439"/>
    </row>
    <row r="391" spans="1:16" x14ac:dyDescent="0.25">
      <c r="A391" s="439" t="str">
        <f t="shared" si="6"/>
        <v>CO-010106000_Result</v>
      </c>
      <c r="B391" s="1009" t="s">
        <v>1340</v>
      </c>
      <c r="C391" s="797" t="s">
        <v>1035</v>
      </c>
      <c r="D391" s="824" t="s">
        <v>1129</v>
      </c>
      <c r="E391" s="822"/>
      <c r="F391" s="980"/>
      <c r="G391" s="980">
        <v>5</v>
      </c>
      <c r="H391" s="980">
        <v>4</v>
      </c>
      <c r="I391" s="980">
        <v>5</v>
      </c>
      <c r="J391" s="980">
        <v>5</v>
      </c>
      <c r="K391" s="980">
        <v>5</v>
      </c>
      <c r="L391" s="983">
        <v>5</v>
      </c>
      <c r="M391" s="439"/>
      <c r="N391" t="e">
        <f>VLOOKUP(A391, 'P&amp;L'!A:B,1,FALSE)</f>
        <v>#N/A</v>
      </c>
      <c r="O391" t="str">
        <f>VLOOKUP(A391, KeyData!A:C,1,FALSE)</f>
        <v>CO-010106000_Result</v>
      </c>
      <c r="P391" s="439"/>
    </row>
    <row r="392" spans="1:16" x14ac:dyDescent="0.25">
      <c r="A392" s="439" t="str">
        <f t="shared" si="6"/>
        <v>CO-010106100_#</v>
      </c>
      <c r="B392" s="1016" t="s">
        <v>1341</v>
      </c>
      <c r="C392" s="798" t="s">
        <v>1043</v>
      </c>
      <c r="D392" s="794" t="s">
        <v>1215</v>
      </c>
      <c r="E392" s="794" t="s">
        <v>1216</v>
      </c>
      <c r="F392" s="979"/>
      <c r="G392" s="979">
        <v>5</v>
      </c>
      <c r="H392" s="979">
        <v>4</v>
      </c>
      <c r="I392" s="979">
        <v>5</v>
      </c>
      <c r="J392" s="979">
        <v>5</v>
      </c>
      <c r="K392" s="979">
        <v>5</v>
      </c>
      <c r="L392" s="982">
        <v>5</v>
      </c>
      <c r="M392" s="439"/>
      <c r="N392" t="e">
        <f>VLOOKUP(A392, 'P&amp;L'!A:B,1,FALSE)</f>
        <v>#N/A</v>
      </c>
      <c r="O392" t="e">
        <f>VLOOKUP(A392, KeyData!A:C,1,FALSE)</f>
        <v>#N/A</v>
      </c>
      <c r="P392" s="439"/>
    </row>
    <row r="393" spans="1:16" x14ac:dyDescent="0.25">
      <c r="A393" s="439" t="str">
        <f t="shared" si="6"/>
        <v>CO-010106100_Result</v>
      </c>
      <c r="B393" s="1016" t="s">
        <v>1341</v>
      </c>
      <c r="C393" s="798" t="s">
        <v>1043</v>
      </c>
      <c r="D393" s="824" t="s">
        <v>1129</v>
      </c>
      <c r="E393" s="822"/>
      <c r="F393" s="980"/>
      <c r="G393" s="980">
        <v>5</v>
      </c>
      <c r="H393" s="980">
        <v>4</v>
      </c>
      <c r="I393" s="980">
        <v>5</v>
      </c>
      <c r="J393" s="980">
        <v>5</v>
      </c>
      <c r="K393" s="980">
        <v>5</v>
      </c>
      <c r="L393" s="983">
        <v>5</v>
      </c>
      <c r="M393" s="439"/>
      <c r="N393" t="e">
        <f>VLOOKUP(A393, 'P&amp;L'!A:B,1,FALSE)</f>
        <v>#N/A</v>
      </c>
      <c r="O393" t="str">
        <f>VLOOKUP(A393, KeyData!A:C,1,FALSE)</f>
        <v>CO-010106100_Result</v>
      </c>
      <c r="P393" s="439"/>
    </row>
    <row r="394" spans="1:16" x14ac:dyDescent="0.25">
      <c r="A394" s="439" t="str">
        <f t="shared" si="6"/>
        <v>CO-210000000_#</v>
      </c>
      <c r="B394" s="1005" t="s">
        <v>1342</v>
      </c>
      <c r="C394" s="795" t="s">
        <v>1343</v>
      </c>
      <c r="D394" s="794" t="s">
        <v>1215</v>
      </c>
      <c r="E394" s="794" t="s">
        <v>1216</v>
      </c>
      <c r="F394" s="979"/>
      <c r="G394" s="979">
        <v>-5172102.0360000003</v>
      </c>
      <c r="H394" s="979">
        <v>1182353.4480000001</v>
      </c>
      <c r="I394" s="979">
        <v>-1460008.4550000001</v>
      </c>
      <c r="J394" s="979">
        <v>1951042.162</v>
      </c>
      <c r="K394" s="979">
        <v>3349445.8930000002</v>
      </c>
      <c r="L394" s="982">
        <v>-2419730.2149999999</v>
      </c>
      <c r="M394" s="439"/>
      <c r="N394" t="e">
        <f>VLOOKUP(A394, 'P&amp;L'!A:B,1,FALSE)</f>
        <v>#N/A</v>
      </c>
      <c r="O394" t="e">
        <f>VLOOKUP(A394, KeyData!A:C,1,FALSE)</f>
        <v>#N/A</v>
      </c>
      <c r="P394" s="439"/>
    </row>
    <row r="395" spans="1:16" x14ac:dyDescent="0.25">
      <c r="A395" s="439" t="str">
        <f t="shared" si="6"/>
        <v>CO-210000000_Result</v>
      </c>
      <c r="B395" s="1005" t="s">
        <v>1342</v>
      </c>
      <c r="C395" s="795" t="s">
        <v>1343</v>
      </c>
      <c r="D395" s="824" t="s">
        <v>1129</v>
      </c>
      <c r="E395" s="822"/>
      <c r="F395" s="980"/>
      <c r="G395" s="980">
        <v>-5172102.0360000003</v>
      </c>
      <c r="H395" s="980">
        <v>1182353.4480000001</v>
      </c>
      <c r="I395" s="980">
        <v>-1460008.4550000001</v>
      </c>
      <c r="J395" s="980">
        <v>1951042.162</v>
      </c>
      <c r="K395" s="980">
        <v>3349445.8930000002</v>
      </c>
      <c r="L395" s="983">
        <v>-2419730.2149999999</v>
      </c>
      <c r="M395" s="439"/>
      <c r="N395" t="e">
        <f>VLOOKUP(A395, 'P&amp;L'!A:B,1,FALSE)</f>
        <v>#N/A</v>
      </c>
      <c r="O395" t="e">
        <f>VLOOKUP(A395, KeyData!A:C,1,FALSE)</f>
        <v>#N/A</v>
      </c>
      <c r="P395" s="439"/>
    </row>
    <row r="396" spans="1:16" x14ac:dyDescent="0.25">
      <c r="A396" s="439" t="str">
        <f t="shared" si="6"/>
        <v>CO-210000329_#</v>
      </c>
      <c r="B396" s="1006" t="s">
        <v>1344</v>
      </c>
      <c r="C396" s="796" t="s">
        <v>457</v>
      </c>
      <c r="D396" s="794" t="s">
        <v>1215</v>
      </c>
      <c r="E396" s="794" t="s">
        <v>1216</v>
      </c>
      <c r="F396" s="979"/>
      <c r="G396" s="979">
        <v>-50107.192000000003</v>
      </c>
      <c r="H396" s="979">
        <v>-65250.928999999996</v>
      </c>
      <c r="I396" s="979">
        <v>-81298.581999999995</v>
      </c>
      <c r="J396" s="979">
        <v>-92790.573000000004</v>
      </c>
      <c r="K396" s="979">
        <v>-72598.528999999995</v>
      </c>
      <c r="L396" s="982">
        <v>-115210.77899999999</v>
      </c>
      <c r="M396" s="439"/>
      <c r="N396" t="e">
        <f>VLOOKUP(A396, 'P&amp;L'!A:B,1,FALSE)</f>
        <v>#N/A</v>
      </c>
      <c r="O396" t="e">
        <f>VLOOKUP(A396, KeyData!A:C,1,FALSE)</f>
        <v>#N/A</v>
      </c>
      <c r="P396" s="439"/>
    </row>
    <row r="397" spans="1:16" x14ac:dyDescent="0.25">
      <c r="A397" s="439" t="str">
        <f t="shared" si="6"/>
        <v>CO-210000329_Result</v>
      </c>
      <c r="B397" s="1006" t="s">
        <v>1344</v>
      </c>
      <c r="C397" s="796" t="s">
        <v>457</v>
      </c>
      <c r="D397" s="824" t="s">
        <v>1129</v>
      </c>
      <c r="E397" s="822"/>
      <c r="F397" s="980"/>
      <c r="G397" s="980">
        <v>-50107.192000000003</v>
      </c>
      <c r="H397" s="980">
        <v>-65250.928999999996</v>
      </c>
      <c r="I397" s="980">
        <v>-81298.581999999995</v>
      </c>
      <c r="J397" s="980">
        <v>-92790.573000000004</v>
      </c>
      <c r="K397" s="980">
        <v>-72598.528999999995</v>
      </c>
      <c r="L397" s="983">
        <v>-115210.77899999999</v>
      </c>
      <c r="M397" s="439"/>
      <c r="N397" t="e">
        <f>VLOOKUP(A397, 'P&amp;L'!A:B,1,FALSE)</f>
        <v>#N/A</v>
      </c>
      <c r="O397" t="str">
        <f>VLOOKUP(A397, KeyData!A:C,1,FALSE)</f>
        <v>CO-210000329_Result</v>
      </c>
      <c r="P397" s="439"/>
    </row>
    <row r="398" spans="1:16" x14ac:dyDescent="0.25">
      <c r="A398" s="439" t="str">
        <f t="shared" si="6"/>
        <v>CO-210000326_#</v>
      </c>
      <c r="B398" s="1006" t="s">
        <v>1345</v>
      </c>
      <c r="C398" s="796" t="s">
        <v>1346</v>
      </c>
      <c r="D398" s="794" t="s">
        <v>1215</v>
      </c>
      <c r="E398" s="794" t="s">
        <v>1216</v>
      </c>
      <c r="F398" s="979"/>
      <c r="G398" s="979">
        <v>-82695.37</v>
      </c>
      <c r="H398" s="979">
        <v>-26635.040000000001</v>
      </c>
      <c r="I398" s="979"/>
      <c r="J398" s="979">
        <v>-26441.74</v>
      </c>
      <c r="K398" s="979">
        <v>-26635.040000000001</v>
      </c>
      <c r="L398" s="982"/>
      <c r="M398" s="439"/>
      <c r="N398" t="e">
        <f>VLOOKUP(A398, 'P&amp;L'!A:B,1,FALSE)</f>
        <v>#N/A</v>
      </c>
      <c r="O398" t="e">
        <f>VLOOKUP(A398, KeyData!A:C,1,FALSE)</f>
        <v>#N/A</v>
      </c>
      <c r="P398" s="439"/>
    </row>
    <row r="399" spans="1:16" x14ac:dyDescent="0.25">
      <c r="A399" s="439" t="str">
        <f t="shared" si="6"/>
        <v>CO-210000326_Result</v>
      </c>
      <c r="B399" s="1006" t="s">
        <v>1345</v>
      </c>
      <c r="C399" s="796" t="s">
        <v>1346</v>
      </c>
      <c r="D399" s="824" t="s">
        <v>1129</v>
      </c>
      <c r="E399" s="822"/>
      <c r="F399" s="980"/>
      <c r="G399" s="980">
        <v>-82695.37</v>
      </c>
      <c r="H399" s="980">
        <v>-26635.040000000001</v>
      </c>
      <c r="I399" s="980"/>
      <c r="J399" s="980">
        <v>-26441.74</v>
      </c>
      <c r="K399" s="980">
        <v>-26635.040000000001</v>
      </c>
      <c r="L399" s="983"/>
      <c r="M399" s="439"/>
      <c r="N399" t="e">
        <f>VLOOKUP(A399, 'P&amp;L'!A:B,1,FALSE)</f>
        <v>#N/A</v>
      </c>
      <c r="O399" t="str">
        <f>VLOOKUP(A399, KeyData!A:C,1,FALSE)</f>
        <v>CO-210000326_Result</v>
      </c>
      <c r="P399" s="439"/>
    </row>
    <row r="400" spans="1:16" x14ac:dyDescent="0.25">
      <c r="A400" s="439" t="str">
        <f t="shared" si="6"/>
        <v>CO-210000325_#</v>
      </c>
      <c r="B400" s="1006" t="s">
        <v>1347</v>
      </c>
      <c r="C400" s="796" t="s">
        <v>1348</v>
      </c>
      <c r="D400" s="794" t="s">
        <v>1215</v>
      </c>
      <c r="E400" s="794" t="s">
        <v>1216</v>
      </c>
      <c r="F400" s="979"/>
      <c r="G400" s="979">
        <v>-29439.151000000002</v>
      </c>
      <c r="H400" s="979">
        <v>-6065.3190000000004</v>
      </c>
      <c r="I400" s="979">
        <v>-44603.603999999999</v>
      </c>
      <c r="J400" s="979">
        <v>-44603.6</v>
      </c>
      <c r="K400" s="979">
        <v>0</v>
      </c>
      <c r="L400" s="982">
        <v>-26849.759999999998</v>
      </c>
      <c r="M400" s="439"/>
      <c r="N400" t="e">
        <f>VLOOKUP(A400, 'P&amp;L'!A:B,1,FALSE)</f>
        <v>#N/A</v>
      </c>
      <c r="O400" t="e">
        <f>VLOOKUP(A400, KeyData!A:C,1,FALSE)</f>
        <v>#N/A</v>
      </c>
      <c r="P400" s="439"/>
    </row>
    <row r="401" spans="1:16" x14ac:dyDescent="0.25">
      <c r="A401" s="439" t="str">
        <f t="shared" si="6"/>
        <v>CO-210000325_Result</v>
      </c>
      <c r="B401" s="1006" t="s">
        <v>1347</v>
      </c>
      <c r="C401" s="796" t="s">
        <v>1348</v>
      </c>
      <c r="D401" s="824" t="s">
        <v>1129</v>
      </c>
      <c r="E401" s="822"/>
      <c r="F401" s="980"/>
      <c r="G401" s="980">
        <v>-29439.151000000002</v>
      </c>
      <c r="H401" s="980">
        <v>-6065.3190000000004</v>
      </c>
      <c r="I401" s="980">
        <v>-44603.603999999999</v>
      </c>
      <c r="J401" s="980">
        <v>-44603.6</v>
      </c>
      <c r="K401" s="980">
        <v>0</v>
      </c>
      <c r="L401" s="983">
        <v>-26849.759999999998</v>
      </c>
      <c r="M401" s="439"/>
      <c r="N401" t="e">
        <f>VLOOKUP(A401, 'P&amp;L'!A:B,1,FALSE)</f>
        <v>#N/A</v>
      </c>
      <c r="O401" t="str">
        <f>VLOOKUP(A401, KeyData!A:C,1,FALSE)</f>
        <v>CO-210000325_Result</v>
      </c>
      <c r="P401" s="439"/>
    </row>
    <row r="402" spans="1:16" x14ac:dyDescent="0.25">
      <c r="A402" s="439" t="str">
        <f t="shared" si="6"/>
        <v>CO-210000323_#</v>
      </c>
      <c r="B402" s="1006" t="s">
        <v>1349</v>
      </c>
      <c r="C402" s="796" t="s">
        <v>1350</v>
      </c>
      <c r="D402" s="794" t="s">
        <v>1215</v>
      </c>
      <c r="E402" s="794" t="s">
        <v>1216</v>
      </c>
      <c r="F402" s="979"/>
      <c r="G402" s="979">
        <v>-80138.327000000005</v>
      </c>
      <c r="H402" s="979">
        <v>-65409.283000000003</v>
      </c>
      <c r="I402" s="979">
        <v>-153857.92800000001</v>
      </c>
      <c r="J402" s="979">
        <v>-127204.38099999999</v>
      </c>
      <c r="K402" s="979">
        <v>-124876.879</v>
      </c>
      <c r="L402" s="982">
        <v>-114872.844</v>
      </c>
      <c r="M402" s="439"/>
      <c r="N402" t="e">
        <f>VLOOKUP(A402, 'P&amp;L'!A:B,1,FALSE)</f>
        <v>#N/A</v>
      </c>
      <c r="O402" t="e">
        <f>VLOOKUP(A402, KeyData!A:C,1,FALSE)</f>
        <v>#N/A</v>
      </c>
      <c r="P402" s="439"/>
    </row>
    <row r="403" spans="1:16" x14ac:dyDescent="0.25">
      <c r="A403" s="439" t="str">
        <f t="shared" si="6"/>
        <v>CO-210000323_Result</v>
      </c>
      <c r="B403" s="1006" t="s">
        <v>1349</v>
      </c>
      <c r="C403" s="796" t="s">
        <v>1350</v>
      </c>
      <c r="D403" s="824" t="s">
        <v>1129</v>
      </c>
      <c r="E403" s="822"/>
      <c r="F403" s="980"/>
      <c r="G403" s="980">
        <v>-80138.327000000005</v>
      </c>
      <c r="H403" s="980">
        <v>-65409.283000000003</v>
      </c>
      <c r="I403" s="980">
        <v>-153857.92800000001</v>
      </c>
      <c r="J403" s="980">
        <v>-127204.38099999999</v>
      </c>
      <c r="K403" s="980">
        <v>-124876.879</v>
      </c>
      <c r="L403" s="983">
        <v>-114872.844</v>
      </c>
      <c r="M403" s="439"/>
      <c r="N403" t="e">
        <f>VLOOKUP(A403, 'P&amp;L'!A:B,1,FALSE)</f>
        <v>#N/A</v>
      </c>
      <c r="O403" t="str">
        <f>VLOOKUP(A403, KeyData!A:C,1,FALSE)</f>
        <v>CO-210000323_Result</v>
      </c>
      <c r="P403" s="439"/>
    </row>
    <row r="404" spans="1:16" x14ac:dyDescent="0.25">
      <c r="A404" s="439" t="str">
        <f t="shared" si="6"/>
        <v>CO-210000322_#</v>
      </c>
      <c r="B404" s="1006" t="s">
        <v>1507</v>
      </c>
      <c r="C404" s="796" t="s">
        <v>1508</v>
      </c>
      <c r="D404" s="794" t="s">
        <v>1215</v>
      </c>
      <c r="E404" s="794" t="s">
        <v>1216</v>
      </c>
      <c r="F404" s="979"/>
      <c r="G404" s="979"/>
      <c r="H404" s="979"/>
      <c r="I404" s="979"/>
      <c r="J404" s="979"/>
      <c r="K404" s="979"/>
      <c r="L404" s="982">
        <v>-668799.99600000004</v>
      </c>
      <c r="M404" s="439"/>
      <c r="N404" t="e">
        <f>VLOOKUP(A404, 'P&amp;L'!A:B,1,FALSE)</f>
        <v>#N/A</v>
      </c>
      <c r="O404" t="e">
        <f>VLOOKUP(A404, KeyData!A:C,1,FALSE)</f>
        <v>#N/A</v>
      </c>
      <c r="P404" s="439"/>
    </row>
    <row r="405" spans="1:16" x14ac:dyDescent="0.25">
      <c r="A405" s="439" t="str">
        <f t="shared" si="6"/>
        <v>CO-210000322_Result</v>
      </c>
      <c r="B405" s="1006" t="s">
        <v>1507</v>
      </c>
      <c r="C405" s="796" t="s">
        <v>1508</v>
      </c>
      <c r="D405" s="824" t="s">
        <v>1129</v>
      </c>
      <c r="E405" s="822"/>
      <c r="F405" s="980"/>
      <c r="G405" s="980"/>
      <c r="H405" s="980"/>
      <c r="I405" s="980"/>
      <c r="J405" s="980"/>
      <c r="K405" s="980"/>
      <c r="L405" s="983">
        <v>-668799.99600000004</v>
      </c>
      <c r="M405" s="439"/>
      <c r="N405" t="e">
        <f>VLOOKUP(A405, 'P&amp;L'!A:B,1,FALSE)</f>
        <v>#N/A</v>
      </c>
      <c r="O405" t="str">
        <f>VLOOKUP(A405, KeyData!A:C,1,FALSE)</f>
        <v>CO-210000322_Result</v>
      </c>
      <c r="P405" s="439"/>
    </row>
    <row r="406" spans="1:16" x14ac:dyDescent="0.25">
      <c r="A406" s="439" t="str">
        <f t="shared" si="6"/>
        <v>CO-210000321_#</v>
      </c>
      <c r="B406" s="1006" t="s">
        <v>1351</v>
      </c>
      <c r="C406" s="796" t="s">
        <v>1352</v>
      </c>
      <c r="D406" s="794" t="s">
        <v>1215</v>
      </c>
      <c r="E406" s="794" t="s">
        <v>1216</v>
      </c>
      <c r="F406" s="979"/>
      <c r="G406" s="979">
        <v>0</v>
      </c>
      <c r="H406" s="979">
        <v>-1600</v>
      </c>
      <c r="I406" s="979"/>
      <c r="J406" s="979">
        <v>-1600</v>
      </c>
      <c r="K406" s="979">
        <v>-1600</v>
      </c>
      <c r="L406" s="982"/>
      <c r="M406" s="439"/>
      <c r="N406" t="e">
        <f>VLOOKUP(A406, 'P&amp;L'!A:B,1,FALSE)</f>
        <v>#N/A</v>
      </c>
      <c r="O406" t="e">
        <f>VLOOKUP(A406, KeyData!A:C,1,FALSE)</f>
        <v>#N/A</v>
      </c>
      <c r="P406" s="439"/>
    </row>
    <row r="407" spans="1:16" x14ac:dyDescent="0.25">
      <c r="A407" s="439" t="str">
        <f t="shared" si="6"/>
        <v>CO-210000321_Result</v>
      </c>
      <c r="B407" s="1006" t="s">
        <v>1351</v>
      </c>
      <c r="C407" s="796" t="s">
        <v>1352</v>
      </c>
      <c r="D407" s="824" t="s">
        <v>1129</v>
      </c>
      <c r="E407" s="822"/>
      <c r="F407" s="980"/>
      <c r="G407" s="980">
        <v>0</v>
      </c>
      <c r="H407" s="980">
        <v>-1600</v>
      </c>
      <c r="I407" s="980"/>
      <c r="J407" s="980">
        <v>-1600</v>
      </c>
      <c r="K407" s="980">
        <v>-1600</v>
      </c>
      <c r="L407" s="983"/>
      <c r="M407" s="439"/>
      <c r="N407" t="e">
        <f>VLOOKUP(A407, 'P&amp;L'!A:B,1,FALSE)</f>
        <v>#N/A</v>
      </c>
      <c r="O407" t="str">
        <f>VLOOKUP(A407, KeyData!A:C,1,FALSE)</f>
        <v>CO-210000321_Result</v>
      </c>
      <c r="P407" s="439"/>
    </row>
    <row r="408" spans="1:16" x14ac:dyDescent="0.25">
      <c r="A408" s="439" t="str">
        <f t="shared" si="6"/>
        <v>CO-210000320_#</v>
      </c>
      <c r="B408" s="1006" t="s">
        <v>1353</v>
      </c>
      <c r="C408" s="796" t="s">
        <v>1354</v>
      </c>
      <c r="D408" s="794" t="s">
        <v>1215</v>
      </c>
      <c r="E408" s="794" t="s">
        <v>1216</v>
      </c>
      <c r="F408" s="979"/>
      <c r="G408" s="979">
        <v>-59401.646000000001</v>
      </c>
      <c r="H408" s="979">
        <v>-115476.109</v>
      </c>
      <c r="I408" s="979">
        <v>-129995.848</v>
      </c>
      <c r="J408" s="979">
        <v>-81695.396999999997</v>
      </c>
      <c r="K408" s="979">
        <v>-189182.473</v>
      </c>
      <c r="L408" s="982">
        <v>-216646.92800000001</v>
      </c>
      <c r="M408" s="439"/>
      <c r="N408" t="e">
        <f>VLOOKUP(A408, 'P&amp;L'!A:B,1,FALSE)</f>
        <v>#N/A</v>
      </c>
      <c r="O408" t="e">
        <f>VLOOKUP(A408, KeyData!A:C,1,FALSE)</f>
        <v>#N/A</v>
      </c>
      <c r="P408" s="439"/>
    </row>
    <row r="409" spans="1:16" x14ac:dyDescent="0.25">
      <c r="A409" s="439" t="str">
        <f t="shared" si="6"/>
        <v>CO-210000320_Result</v>
      </c>
      <c r="B409" s="1006" t="s">
        <v>1353</v>
      </c>
      <c r="C409" s="796" t="s">
        <v>1354</v>
      </c>
      <c r="D409" s="824" t="s">
        <v>1129</v>
      </c>
      <c r="E409" s="822"/>
      <c r="F409" s="980"/>
      <c r="G409" s="980">
        <v>-59401.646000000001</v>
      </c>
      <c r="H409" s="980">
        <v>-115476.109</v>
      </c>
      <c r="I409" s="980">
        <v>-129995.848</v>
      </c>
      <c r="J409" s="980">
        <v>-81695.396999999997</v>
      </c>
      <c r="K409" s="980">
        <v>-189182.473</v>
      </c>
      <c r="L409" s="983">
        <v>-216646.92800000001</v>
      </c>
      <c r="M409" s="439"/>
      <c r="N409" t="e">
        <f>VLOOKUP(A409, 'P&amp;L'!A:B,1,FALSE)</f>
        <v>#N/A</v>
      </c>
      <c r="O409" t="str">
        <f>VLOOKUP(A409, KeyData!A:C,1,FALSE)</f>
        <v>CO-210000320_Result</v>
      </c>
      <c r="P409" s="439"/>
    </row>
    <row r="410" spans="1:16" x14ac:dyDescent="0.25">
      <c r="A410" s="439" t="str">
        <f t="shared" si="6"/>
        <v>CO-210000313_#</v>
      </c>
      <c r="B410" s="1006" t="s">
        <v>1355</v>
      </c>
      <c r="C410" s="796" t="s">
        <v>1356</v>
      </c>
      <c r="D410" s="794" t="s">
        <v>1215</v>
      </c>
      <c r="E410" s="794" t="s">
        <v>1216</v>
      </c>
      <c r="F410" s="979"/>
      <c r="G410" s="979"/>
      <c r="H410" s="979">
        <v>-10512.043</v>
      </c>
      <c r="I410" s="979"/>
      <c r="J410" s="979">
        <v>-28482.024000000001</v>
      </c>
      <c r="K410" s="979">
        <v>-26914.803</v>
      </c>
      <c r="L410" s="982">
        <v>-31125.62</v>
      </c>
      <c r="M410" s="439"/>
      <c r="N410" t="e">
        <f>VLOOKUP(A410, 'P&amp;L'!A:B,1,FALSE)</f>
        <v>#N/A</v>
      </c>
      <c r="O410" t="e">
        <f>VLOOKUP(A410, KeyData!A:C,1,FALSE)</f>
        <v>#N/A</v>
      </c>
      <c r="P410" s="439"/>
    </row>
    <row r="411" spans="1:16" x14ac:dyDescent="0.25">
      <c r="A411" s="439" t="str">
        <f t="shared" si="6"/>
        <v>CO-210000313_Result</v>
      </c>
      <c r="B411" s="1006" t="s">
        <v>1355</v>
      </c>
      <c r="C411" s="796" t="s">
        <v>1356</v>
      </c>
      <c r="D411" s="824" t="s">
        <v>1129</v>
      </c>
      <c r="E411" s="822"/>
      <c r="F411" s="980"/>
      <c r="G411" s="980"/>
      <c r="H411" s="980">
        <v>-10512.043</v>
      </c>
      <c r="I411" s="980"/>
      <c r="J411" s="980">
        <v>-28482.024000000001</v>
      </c>
      <c r="K411" s="980">
        <v>-26914.803</v>
      </c>
      <c r="L411" s="983">
        <v>-31125.62</v>
      </c>
      <c r="M411" s="439"/>
      <c r="N411" t="e">
        <f>VLOOKUP(A411, 'P&amp;L'!A:B,1,FALSE)</f>
        <v>#N/A</v>
      </c>
      <c r="O411" t="str">
        <f>VLOOKUP(A411, KeyData!A:C,1,FALSE)</f>
        <v>CO-210000313_Result</v>
      </c>
      <c r="P411" s="439"/>
    </row>
    <row r="412" spans="1:16" x14ac:dyDescent="0.25">
      <c r="A412" s="439" t="str">
        <f t="shared" si="6"/>
        <v>CO-210000312_#</v>
      </c>
      <c r="B412" s="1006" t="s">
        <v>1357</v>
      </c>
      <c r="C412" s="796" t="s">
        <v>1358</v>
      </c>
      <c r="D412" s="794" t="s">
        <v>1215</v>
      </c>
      <c r="E412" s="794" t="s">
        <v>1216</v>
      </c>
      <c r="F412" s="979"/>
      <c r="G412" s="979">
        <v>-640552.348</v>
      </c>
      <c r="H412" s="979">
        <v>-305965.86700000003</v>
      </c>
      <c r="I412" s="979">
        <v>-628094.02800000005</v>
      </c>
      <c r="J412" s="979">
        <v>-609329.15</v>
      </c>
      <c r="K412" s="979">
        <v>-615492.63399999996</v>
      </c>
      <c r="L412" s="982">
        <v>-689252.04</v>
      </c>
      <c r="M412" s="439"/>
      <c r="N412" t="e">
        <f>VLOOKUP(A412, 'P&amp;L'!A:B,1,FALSE)</f>
        <v>#N/A</v>
      </c>
      <c r="O412" t="e">
        <f>VLOOKUP(A412, KeyData!A:C,1,FALSE)</f>
        <v>#N/A</v>
      </c>
      <c r="P412" s="439"/>
    </row>
    <row r="413" spans="1:16" x14ac:dyDescent="0.25">
      <c r="A413" s="439" t="str">
        <f t="shared" si="6"/>
        <v>CO-210000312_Result</v>
      </c>
      <c r="B413" s="1006" t="s">
        <v>1357</v>
      </c>
      <c r="C413" s="796" t="s">
        <v>1358</v>
      </c>
      <c r="D413" s="824" t="s">
        <v>1129</v>
      </c>
      <c r="E413" s="822"/>
      <c r="F413" s="980"/>
      <c r="G413" s="980">
        <v>-640552.348</v>
      </c>
      <c r="H413" s="980">
        <v>-305965.86700000003</v>
      </c>
      <c r="I413" s="980">
        <v>-628094.02800000005</v>
      </c>
      <c r="J413" s="980">
        <v>-609329.15</v>
      </c>
      <c r="K413" s="980">
        <v>-615492.63399999996</v>
      </c>
      <c r="L413" s="983">
        <v>-689252.04</v>
      </c>
      <c r="M413" s="439"/>
      <c r="N413" t="e">
        <f>VLOOKUP(A413, 'P&amp;L'!A:B,1,FALSE)</f>
        <v>#N/A</v>
      </c>
      <c r="O413" t="str">
        <f>VLOOKUP(A413, KeyData!A:C,1,FALSE)</f>
        <v>CO-210000312_Result</v>
      </c>
      <c r="P413" s="439"/>
    </row>
    <row r="414" spans="1:16" x14ac:dyDescent="0.25">
      <c r="A414" s="439" t="str">
        <f t="shared" si="6"/>
        <v>CO-210000311_#</v>
      </c>
      <c r="B414" s="1006" t="s">
        <v>1359</v>
      </c>
      <c r="C414" s="796" t="s">
        <v>1360</v>
      </c>
      <c r="D414" s="794" t="s">
        <v>1215</v>
      </c>
      <c r="E414" s="794" t="s">
        <v>1216</v>
      </c>
      <c r="F414" s="979"/>
      <c r="G414" s="979">
        <v>-61630.360999999997</v>
      </c>
      <c r="H414" s="979">
        <v>-54448.459000000003</v>
      </c>
      <c r="I414" s="979">
        <v>-103312.126</v>
      </c>
      <c r="J414" s="979">
        <v>-137798.95000000001</v>
      </c>
      <c r="K414" s="979">
        <v>-137798.95300000001</v>
      </c>
      <c r="L414" s="982">
        <v>-129077.808</v>
      </c>
      <c r="M414" s="439"/>
      <c r="N414" t="e">
        <f>VLOOKUP(A414, 'P&amp;L'!A:B,1,FALSE)</f>
        <v>#N/A</v>
      </c>
      <c r="O414" t="e">
        <f>VLOOKUP(A414, KeyData!A:C,1,FALSE)</f>
        <v>#N/A</v>
      </c>
      <c r="P414" s="439"/>
    </row>
    <row r="415" spans="1:16" x14ac:dyDescent="0.25">
      <c r="A415" s="439" t="str">
        <f t="shared" si="6"/>
        <v>CO-210000311_Result</v>
      </c>
      <c r="B415" s="1006" t="s">
        <v>1359</v>
      </c>
      <c r="C415" s="796" t="s">
        <v>1360</v>
      </c>
      <c r="D415" s="824" t="s">
        <v>1129</v>
      </c>
      <c r="E415" s="822"/>
      <c r="F415" s="980"/>
      <c r="G415" s="980">
        <v>-61630.360999999997</v>
      </c>
      <c r="H415" s="980">
        <v>-54448.459000000003</v>
      </c>
      <c r="I415" s="980">
        <v>-103312.126</v>
      </c>
      <c r="J415" s="980">
        <v>-137798.95000000001</v>
      </c>
      <c r="K415" s="980">
        <v>-137798.95300000001</v>
      </c>
      <c r="L415" s="983">
        <v>-129077.808</v>
      </c>
      <c r="M415" s="439"/>
      <c r="N415" t="e">
        <f>VLOOKUP(A415, 'P&amp;L'!A:B,1,FALSE)</f>
        <v>#N/A</v>
      </c>
      <c r="O415" t="str">
        <f>VLOOKUP(A415, KeyData!A:C,1,FALSE)</f>
        <v>CO-210000311_Result</v>
      </c>
      <c r="P415" s="439"/>
    </row>
    <row r="416" spans="1:16" x14ac:dyDescent="0.25">
      <c r="A416" s="439" t="str">
        <f t="shared" si="6"/>
        <v>CO-210000310_#</v>
      </c>
      <c r="B416" s="1006" t="s">
        <v>1361</v>
      </c>
      <c r="C416" s="796" t="s">
        <v>1362</v>
      </c>
      <c r="D416" s="794" t="s">
        <v>1215</v>
      </c>
      <c r="E416" s="794" t="s">
        <v>1216</v>
      </c>
      <c r="F416" s="979"/>
      <c r="G416" s="979">
        <v>-179625.17600000001</v>
      </c>
      <c r="H416" s="979">
        <v>-168040.886</v>
      </c>
      <c r="I416" s="979">
        <v>-318846.33899999998</v>
      </c>
      <c r="J416" s="979">
        <v>-441112.71100000001</v>
      </c>
      <c r="K416" s="979">
        <v>-441112.712</v>
      </c>
      <c r="L416" s="982">
        <v>-427894.44</v>
      </c>
      <c r="M416" s="439"/>
      <c r="N416" t="e">
        <f>VLOOKUP(A416, 'P&amp;L'!A:B,1,FALSE)</f>
        <v>#N/A</v>
      </c>
      <c r="O416" t="e">
        <f>VLOOKUP(A416, KeyData!A:C,1,FALSE)</f>
        <v>#N/A</v>
      </c>
      <c r="P416" s="439"/>
    </row>
    <row r="417" spans="1:16" x14ac:dyDescent="0.25">
      <c r="A417" s="439" t="str">
        <f t="shared" si="6"/>
        <v>CO-210000310_Result</v>
      </c>
      <c r="B417" s="1006" t="s">
        <v>1361</v>
      </c>
      <c r="C417" s="796" t="s">
        <v>1362</v>
      </c>
      <c r="D417" s="824" t="s">
        <v>1129</v>
      </c>
      <c r="E417" s="822"/>
      <c r="F417" s="980"/>
      <c r="G417" s="980">
        <v>-179625.17600000001</v>
      </c>
      <c r="H417" s="980">
        <v>-168040.886</v>
      </c>
      <c r="I417" s="980">
        <v>-318846.33899999998</v>
      </c>
      <c r="J417" s="980">
        <v>-441112.71100000001</v>
      </c>
      <c r="K417" s="980">
        <v>-441112.712</v>
      </c>
      <c r="L417" s="983">
        <v>-427894.44</v>
      </c>
      <c r="M417" s="439"/>
      <c r="N417" t="e">
        <f>VLOOKUP(A417, 'P&amp;L'!A:B,1,FALSE)</f>
        <v>#N/A</v>
      </c>
      <c r="O417" t="str">
        <f>VLOOKUP(A417, KeyData!A:C,1,FALSE)</f>
        <v>CO-210000310_Result</v>
      </c>
      <c r="P417" s="439"/>
    </row>
    <row r="418" spans="1:16" x14ac:dyDescent="0.25">
      <c r="A418" s="439" t="str">
        <f t="shared" si="6"/>
        <v>CO-210000210_#</v>
      </c>
      <c r="B418" s="1006" t="s">
        <v>1363</v>
      </c>
      <c r="C418" s="796" t="s">
        <v>1364</v>
      </c>
      <c r="D418" s="794" t="s">
        <v>1215</v>
      </c>
      <c r="E418" s="794" t="s">
        <v>1216</v>
      </c>
      <c r="F418" s="979"/>
      <c r="G418" s="979">
        <v>-870260.40099999995</v>
      </c>
      <c r="H418" s="979">
        <v>417894.783</v>
      </c>
      <c r="I418" s="979"/>
      <c r="J418" s="979">
        <v>407912.28600000002</v>
      </c>
      <c r="K418" s="979">
        <v>778227.62100000004</v>
      </c>
      <c r="L418" s="982"/>
      <c r="M418" s="439"/>
      <c r="N418" t="e">
        <f>VLOOKUP(A418, 'P&amp;L'!A:B,1,FALSE)</f>
        <v>#N/A</v>
      </c>
      <c r="O418" t="e">
        <f>VLOOKUP(A418, KeyData!A:C,1,FALSE)</f>
        <v>#N/A</v>
      </c>
      <c r="P418" s="439"/>
    </row>
    <row r="419" spans="1:16" x14ac:dyDescent="0.25">
      <c r="A419" s="439" t="str">
        <f t="shared" si="6"/>
        <v>CO-210000210_Result</v>
      </c>
      <c r="B419" s="1006" t="s">
        <v>1363</v>
      </c>
      <c r="C419" s="796" t="s">
        <v>1364</v>
      </c>
      <c r="D419" s="824" t="s">
        <v>1129</v>
      </c>
      <c r="E419" s="822"/>
      <c r="F419" s="980"/>
      <c r="G419" s="980">
        <v>-870260.40099999995</v>
      </c>
      <c r="H419" s="980">
        <v>417894.783</v>
      </c>
      <c r="I419" s="980"/>
      <c r="J419" s="980">
        <v>407912.28600000002</v>
      </c>
      <c r="K419" s="980">
        <v>778227.62100000004</v>
      </c>
      <c r="L419" s="983"/>
      <c r="M419" s="439"/>
      <c r="N419" t="e">
        <f>VLOOKUP(A419, 'P&amp;L'!A:B,1,FALSE)</f>
        <v>#N/A</v>
      </c>
      <c r="O419" t="e">
        <f>VLOOKUP(A419, KeyData!A:C,1,FALSE)</f>
        <v>#N/A</v>
      </c>
      <c r="P419" s="439"/>
    </row>
    <row r="420" spans="1:16" x14ac:dyDescent="0.25">
      <c r="A420" s="439" t="str">
        <f t="shared" si="6"/>
        <v>CO-210000211_#</v>
      </c>
      <c r="B420" s="1006" t="s">
        <v>1365</v>
      </c>
      <c r="C420" s="796" t="s">
        <v>1366</v>
      </c>
      <c r="D420" s="794" t="s">
        <v>1215</v>
      </c>
      <c r="E420" s="794" t="s">
        <v>1216</v>
      </c>
      <c r="F420" s="979"/>
      <c r="G420" s="979">
        <v>61202.536</v>
      </c>
      <c r="H420" s="979">
        <v>-366979.19300000003</v>
      </c>
      <c r="I420" s="979"/>
      <c r="J420" s="979">
        <v>-536970.826</v>
      </c>
      <c r="K420" s="979">
        <v>-594035.12199999997</v>
      </c>
      <c r="L420" s="982"/>
      <c r="M420" s="439"/>
      <c r="N420" t="e">
        <f>VLOOKUP(A420, 'P&amp;L'!A:B,1,FALSE)</f>
        <v>#N/A</v>
      </c>
      <c r="O420" t="e">
        <f>VLOOKUP(A420, KeyData!A:C,1,FALSE)</f>
        <v>#N/A</v>
      </c>
      <c r="P420" s="439"/>
    </row>
    <row r="421" spans="1:16" x14ac:dyDescent="0.25">
      <c r="A421" s="439" t="str">
        <f t="shared" si="6"/>
        <v>CO-210000211_Result</v>
      </c>
      <c r="B421" s="1006" t="s">
        <v>1365</v>
      </c>
      <c r="C421" s="796" t="s">
        <v>1366</v>
      </c>
      <c r="D421" s="824" t="s">
        <v>1129</v>
      </c>
      <c r="E421" s="822"/>
      <c r="F421" s="980"/>
      <c r="G421" s="980">
        <v>61202.536</v>
      </c>
      <c r="H421" s="980">
        <v>-366979.19300000003</v>
      </c>
      <c r="I421" s="980"/>
      <c r="J421" s="980">
        <v>-536970.826</v>
      </c>
      <c r="K421" s="980">
        <v>-594035.12199999997</v>
      </c>
      <c r="L421" s="983"/>
      <c r="M421" s="439"/>
      <c r="N421" t="e">
        <f>VLOOKUP(A421, 'P&amp;L'!A:B,1,FALSE)</f>
        <v>#N/A</v>
      </c>
      <c r="O421" t="e">
        <f>VLOOKUP(A421, KeyData!A:C,1,FALSE)</f>
        <v>#N/A</v>
      </c>
      <c r="P421" s="439"/>
    </row>
    <row r="422" spans="1:16" x14ac:dyDescent="0.25">
      <c r="A422" s="439" t="str">
        <f t="shared" si="6"/>
        <v>CO-210000114_#</v>
      </c>
      <c r="B422" s="1006" t="s">
        <v>1367</v>
      </c>
      <c r="C422" s="796" t="s">
        <v>1368</v>
      </c>
      <c r="D422" s="794" t="s">
        <v>1215</v>
      </c>
      <c r="E422" s="794" t="s">
        <v>1216</v>
      </c>
      <c r="F422" s="979"/>
      <c r="G422" s="979"/>
      <c r="H422" s="979"/>
      <c r="I422" s="979"/>
      <c r="J422" s="979"/>
      <c r="K422" s="979">
        <v>65498.32</v>
      </c>
      <c r="L422" s="982"/>
      <c r="M422" s="439"/>
      <c r="N422" t="e">
        <f>VLOOKUP(A422, 'P&amp;L'!A:B,1,FALSE)</f>
        <v>#N/A</v>
      </c>
      <c r="O422" t="e">
        <f>VLOOKUP(A422, KeyData!A:C,1,FALSE)</f>
        <v>#N/A</v>
      </c>
      <c r="P422" s="439"/>
    </row>
    <row r="423" spans="1:16" x14ac:dyDescent="0.25">
      <c r="A423" s="439" t="str">
        <f t="shared" si="6"/>
        <v>CO-210000114_Result</v>
      </c>
      <c r="B423" s="1006" t="s">
        <v>1367</v>
      </c>
      <c r="C423" s="796" t="s">
        <v>1368</v>
      </c>
      <c r="D423" s="824" t="s">
        <v>1129</v>
      </c>
      <c r="E423" s="822"/>
      <c r="F423" s="980"/>
      <c r="G423" s="980"/>
      <c r="H423" s="980"/>
      <c r="I423" s="980"/>
      <c r="J423" s="980"/>
      <c r="K423" s="980">
        <v>65498.32</v>
      </c>
      <c r="L423" s="983"/>
      <c r="M423" s="439"/>
      <c r="N423" t="e">
        <f>VLOOKUP(A423, 'P&amp;L'!A:B,1,FALSE)</f>
        <v>#N/A</v>
      </c>
      <c r="O423" t="e">
        <f>VLOOKUP(A423, KeyData!A:C,1,FALSE)</f>
        <v>#N/A</v>
      </c>
      <c r="P423" s="439"/>
    </row>
    <row r="424" spans="1:16" x14ac:dyDescent="0.25">
      <c r="A424" s="439" t="str">
        <f t="shared" si="6"/>
        <v>CO-210000113_#</v>
      </c>
      <c r="B424" s="1006" t="s">
        <v>1369</v>
      </c>
      <c r="C424" s="796" t="s">
        <v>1370</v>
      </c>
      <c r="D424" s="794" t="s">
        <v>1215</v>
      </c>
      <c r="E424" s="794" t="s">
        <v>1216</v>
      </c>
      <c r="F424" s="979"/>
      <c r="G424" s="979">
        <v>204300</v>
      </c>
      <c r="H424" s="979"/>
      <c r="I424" s="979"/>
      <c r="J424" s="979">
        <v>1894291.83</v>
      </c>
      <c r="K424" s="979">
        <v>1346004.7560000001</v>
      </c>
      <c r="L424" s="982"/>
      <c r="M424" s="439"/>
      <c r="N424" t="e">
        <f>VLOOKUP(A424, 'P&amp;L'!A:B,1,FALSE)</f>
        <v>#N/A</v>
      </c>
      <c r="O424" t="e">
        <f>VLOOKUP(A424, KeyData!A:C,1,FALSE)</f>
        <v>#N/A</v>
      </c>
      <c r="P424" s="439"/>
    </row>
    <row r="425" spans="1:16" x14ac:dyDescent="0.25">
      <c r="A425" s="439" t="str">
        <f t="shared" si="6"/>
        <v>CO-210000113_Result</v>
      </c>
      <c r="B425" s="1006" t="s">
        <v>1369</v>
      </c>
      <c r="C425" s="796" t="s">
        <v>1370</v>
      </c>
      <c r="D425" s="824" t="s">
        <v>1129</v>
      </c>
      <c r="E425" s="822"/>
      <c r="F425" s="980"/>
      <c r="G425" s="980">
        <v>204300</v>
      </c>
      <c r="H425" s="980"/>
      <c r="I425" s="980"/>
      <c r="J425" s="980">
        <v>1894291.83</v>
      </c>
      <c r="K425" s="980">
        <v>1346004.7560000001</v>
      </c>
      <c r="L425" s="983"/>
      <c r="M425" s="439"/>
      <c r="N425" t="e">
        <f>VLOOKUP(A425, 'P&amp;L'!A:B,1,FALSE)</f>
        <v>#N/A</v>
      </c>
      <c r="O425" t="e">
        <f>VLOOKUP(A425, KeyData!A:C,1,FALSE)</f>
        <v>#N/A</v>
      </c>
      <c r="P425" s="439"/>
    </row>
    <row r="426" spans="1:16" x14ac:dyDescent="0.25">
      <c r="A426" s="439" t="str">
        <f t="shared" si="6"/>
        <v>CO-210000112_#</v>
      </c>
      <c r="B426" s="1006" t="s">
        <v>1371</v>
      </c>
      <c r="C426" s="796" t="s">
        <v>1372</v>
      </c>
      <c r="D426" s="794" t="s">
        <v>1215</v>
      </c>
      <c r="E426" s="794" t="s">
        <v>1216</v>
      </c>
      <c r="F426" s="979"/>
      <c r="G426" s="979">
        <v>7871</v>
      </c>
      <c r="H426" s="979">
        <v>130490.601</v>
      </c>
      <c r="I426" s="979"/>
      <c r="J426" s="979"/>
      <c r="K426" s="979"/>
      <c r="L426" s="982"/>
      <c r="M426" s="439"/>
      <c r="N426" t="e">
        <f>VLOOKUP(A426, 'P&amp;L'!A:B,1,FALSE)</f>
        <v>#N/A</v>
      </c>
      <c r="O426" t="e">
        <f>VLOOKUP(A426, KeyData!A:C,1,FALSE)</f>
        <v>#N/A</v>
      </c>
      <c r="P426" s="439"/>
    </row>
    <row r="427" spans="1:16" x14ac:dyDescent="0.25">
      <c r="A427" s="439" t="str">
        <f t="shared" si="6"/>
        <v>CO-210000112_Result</v>
      </c>
      <c r="B427" s="1006" t="s">
        <v>1371</v>
      </c>
      <c r="C427" s="796" t="s">
        <v>1372</v>
      </c>
      <c r="D427" s="824" t="s">
        <v>1129</v>
      </c>
      <c r="E427" s="822"/>
      <c r="F427" s="980"/>
      <c r="G427" s="980">
        <v>7871</v>
      </c>
      <c r="H427" s="980">
        <v>130490.601</v>
      </c>
      <c r="I427" s="980"/>
      <c r="J427" s="980"/>
      <c r="K427" s="980"/>
      <c r="L427" s="983"/>
      <c r="M427" s="439"/>
      <c r="N427" t="e">
        <f>VLOOKUP(A427, 'P&amp;L'!A:B,1,FALSE)</f>
        <v>#N/A</v>
      </c>
      <c r="O427" t="e">
        <f>VLOOKUP(A427, KeyData!A:C,1,FALSE)</f>
        <v>#N/A</v>
      </c>
      <c r="P427" s="439"/>
    </row>
    <row r="428" spans="1:16" x14ac:dyDescent="0.25">
      <c r="A428" s="439" t="str">
        <f t="shared" si="6"/>
        <v>CO-210000110_#</v>
      </c>
      <c r="B428" s="1006" t="s">
        <v>1373</v>
      </c>
      <c r="C428" s="796" t="s">
        <v>1374</v>
      </c>
      <c r="D428" s="794" t="s">
        <v>1215</v>
      </c>
      <c r="E428" s="794" t="s">
        <v>1216</v>
      </c>
      <c r="F428" s="979"/>
      <c r="G428" s="979">
        <v>-3391625.6</v>
      </c>
      <c r="H428" s="979">
        <v>1820351.192</v>
      </c>
      <c r="I428" s="979"/>
      <c r="J428" s="979">
        <v>1776867.398</v>
      </c>
      <c r="K428" s="979">
        <v>3389962.341</v>
      </c>
      <c r="L428" s="982"/>
      <c r="M428" s="439"/>
      <c r="N428" t="e">
        <f>VLOOKUP(A428, 'P&amp;L'!A:B,1,FALSE)</f>
        <v>#N/A</v>
      </c>
      <c r="O428" t="e">
        <f>VLOOKUP(A428, KeyData!A:C,1,FALSE)</f>
        <v>#N/A</v>
      </c>
      <c r="P428" s="439"/>
    </row>
    <row r="429" spans="1:16" x14ac:dyDescent="0.25">
      <c r="A429" s="439" t="str">
        <f t="shared" si="6"/>
        <v>CO-210000110_Result</v>
      </c>
      <c r="B429" s="1006" t="s">
        <v>1373</v>
      </c>
      <c r="C429" s="796" t="s">
        <v>1374</v>
      </c>
      <c r="D429" s="826" t="s">
        <v>1129</v>
      </c>
      <c r="E429" s="823"/>
      <c r="F429" s="981"/>
      <c r="G429" s="981">
        <v>-3391625.6</v>
      </c>
      <c r="H429" s="981">
        <v>1820351.192</v>
      </c>
      <c r="I429" s="981"/>
      <c r="J429" s="981">
        <v>1776867.398</v>
      </c>
      <c r="K429" s="981">
        <v>3389962.341</v>
      </c>
      <c r="L429" s="984"/>
      <c r="M429" s="439"/>
      <c r="N429" t="e">
        <f>VLOOKUP(A429, 'P&amp;L'!A:B,1,FALSE)</f>
        <v>#N/A</v>
      </c>
      <c r="O429" t="e">
        <f>VLOOKUP(A429, KeyData!A:C,1,FALSE)</f>
        <v>#N/A</v>
      </c>
      <c r="P429" s="439"/>
    </row>
    <row r="430" spans="1:16" x14ac:dyDescent="0.25">
      <c r="A430" s="439" t="str">
        <f t="shared" si="6"/>
        <v>0_0</v>
      </c>
      <c r="M430" s="439"/>
      <c r="N430" t="e">
        <f>VLOOKUP(A430, 'P&amp;L'!A:B,1,FALSE)</f>
        <v>#N/A</v>
      </c>
      <c r="O430" t="e">
        <f>VLOOKUP(A430, KeyData!A:C,1,FALSE)</f>
        <v>#N/A</v>
      </c>
      <c r="P430" s="439"/>
    </row>
    <row r="431" spans="1:16" x14ac:dyDescent="0.25">
      <c r="A431" s="439" t="str">
        <f t="shared" si="6"/>
        <v>0_0</v>
      </c>
      <c r="M431" s="439"/>
      <c r="N431" t="e">
        <f>VLOOKUP(A431, 'P&amp;L'!A:B,1,FALSE)</f>
        <v>#N/A</v>
      </c>
      <c r="O431" t="e">
        <f>VLOOKUP(A431, KeyData!A:C,1,FALSE)</f>
        <v>#N/A</v>
      </c>
      <c r="P431" s="439"/>
    </row>
    <row r="432" spans="1:16" x14ac:dyDescent="0.25">
      <c r="A432" s="439" t="str">
        <f t="shared" si="6"/>
        <v>0_0</v>
      </c>
      <c r="M432" s="439"/>
      <c r="N432" t="e">
        <f>VLOOKUP(A432, 'P&amp;L'!A:B,1,FALSE)</f>
        <v>#N/A</v>
      </c>
      <c r="O432" t="e">
        <f>VLOOKUP(A432, KeyData!A:C,1,FALSE)</f>
        <v>#N/A</v>
      </c>
      <c r="P432" s="439"/>
    </row>
    <row r="433" spans="1:16" x14ac:dyDescent="0.25">
      <c r="A433" s="439" t="str">
        <f t="shared" si="6"/>
        <v>0_0</v>
      </c>
      <c r="M433" s="439"/>
      <c r="N433" t="e">
        <f>VLOOKUP(A433, 'P&amp;L'!A:B,1,FALSE)</f>
        <v>#N/A</v>
      </c>
      <c r="O433" t="e">
        <f>VLOOKUP(A433, KeyData!A:C,1,FALSE)</f>
        <v>#N/A</v>
      </c>
      <c r="P433" s="439"/>
    </row>
    <row r="434" spans="1:16" x14ac:dyDescent="0.25">
      <c r="A434" s="439" t="str">
        <f t="shared" si="6"/>
        <v>0_0</v>
      </c>
      <c r="M434" s="439"/>
      <c r="N434" t="e">
        <f>VLOOKUP(A434, 'P&amp;L'!A:B,1,FALSE)</f>
        <v>#N/A</v>
      </c>
      <c r="O434" t="e">
        <f>VLOOKUP(A434, KeyData!A:C,1,FALSE)</f>
        <v>#N/A</v>
      </c>
      <c r="P434" s="439"/>
    </row>
    <row r="435" spans="1:16" x14ac:dyDescent="0.25">
      <c r="A435" s="439" t="str">
        <f t="shared" si="6"/>
        <v>0_0</v>
      </c>
      <c r="M435" s="439"/>
      <c r="N435" t="e">
        <f>VLOOKUP(A435, 'P&amp;L'!A:B,1,FALSE)</f>
        <v>#N/A</v>
      </c>
      <c r="O435" t="e">
        <f>VLOOKUP(A435, KeyData!A:C,1,FALSE)</f>
        <v>#N/A</v>
      </c>
      <c r="P435" s="439"/>
    </row>
    <row r="436" spans="1:16" x14ac:dyDescent="0.25">
      <c r="A436" s="439" t="str">
        <f t="shared" si="6"/>
        <v>0_0</v>
      </c>
      <c r="M436" s="439"/>
      <c r="N436" t="e">
        <f>VLOOKUP(A436, 'P&amp;L'!A:B,1,FALSE)</f>
        <v>#N/A</v>
      </c>
      <c r="O436" t="e">
        <f>VLOOKUP(A436, KeyData!A:C,1,FALSE)</f>
        <v>#N/A</v>
      </c>
      <c r="P436" s="439"/>
    </row>
    <row r="437" spans="1:16" x14ac:dyDescent="0.25">
      <c r="A437" s="439" t="str">
        <f t="shared" si="6"/>
        <v>0_0</v>
      </c>
      <c r="M437" s="439"/>
      <c r="N437" t="e">
        <f>VLOOKUP(A437, 'P&amp;L'!A:B,1,FALSE)</f>
        <v>#N/A</v>
      </c>
      <c r="O437" t="e">
        <f>VLOOKUP(A437, KeyData!A:C,1,FALSE)</f>
        <v>#N/A</v>
      </c>
      <c r="P437" s="439"/>
    </row>
    <row r="438" spans="1:16" x14ac:dyDescent="0.25">
      <c r="A438" s="439" t="str">
        <f t="shared" si="6"/>
        <v>0_0</v>
      </c>
      <c r="M438" s="439"/>
      <c r="N438" t="e">
        <f>VLOOKUP(A438, 'P&amp;L'!A:B,1,FALSE)</f>
        <v>#N/A</v>
      </c>
      <c r="O438" t="e">
        <f>VLOOKUP(A438, KeyData!A:C,1,FALSE)</f>
        <v>#N/A</v>
      </c>
      <c r="P438" s="439"/>
    </row>
    <row r="439" spans="1:16" x14ac:dyDescent="0.25">
      <c r="A439" s="439" t="str">
        <f t="shared" si="6"/>
        <v>0_0</v>
      </c>
      <c r="M439" s="439"/>
      <c r="N439" t="e">
        <f>VLOOKUP(A439, 'P&amp;L'!A:B,1,FALSE)</f>
        <v>#N/A</v>
      </c>
      <c r="O439" t="e">
        <f>VLOOKUP(A439, KeyData!A:C,1,FALSE)</f>
        <v>#N/A</v>
      </c>
      <c r="P439" s="439"/>
    </row>
    <row r="440" spans="1:16" x14ac:dyDescent="0.25">
      <c r="A440" s="439" t="str">
        <f t="shared" si="6"/>
        <v>0_0</v>
      </c>
      <c r="M440" s="439"/>
      <c r="N440" t="e">
        <f>VLOOKUP(A440, 'P&amp;L'!A:B,1,FALSE)</f>
        <v>#N/A</v>
      </c>
      <c r="O440" t="e">
        <f>VLOOKUP(A440, KeyData!A:C,1,FALSE)</f>
        <v>#N/A</v>
      </c>
      <c r="P440" s="439"/>
    </row>
    <row r="441" spans="1:16" x14ac:dyDescent="0.25">
      <c r="A441" s="439" t="str">
        <f t="shared" si="6"/>
        <v>0_0</v>
      </c>
      <c r="M441" s="439"/>
      <c r="N441" t="e">
        <f>VLOOKUP(A441, 'P&amp;L'!A:B,1,FALSE)</f>
        <v>#N/A</v>
      </c>
      <c r="O441" t="e">
        <f>VLOOKUP(A441, KeyData!A:C,1,FALSE)</f>
        <v>#N/A</v>
      </c>
      <c r="P441" s="439"/>
    </row>
    <row r="442" spans="1:16" x14ac:dyDescent="0.25">
      <c r="A442" s="439" t="str">
        <f t="shared" si="6"/>
        <v>0_0</v>
      </c>
      <c r="M442" s="439"/>
      <c r="N442" t="e">
        <f>VLOOKUP(A442, 'P&amp;L'!A:B,1,FALSE)</f>
        <v>#N/A</v>
      </c>
      <c r="O442" t="e">
        <f>VLOOKUP(A442, KeyData!A:C,1,FALSE)</f>
        <v>#N/A</v>
      </c>
      <c r="P442" s="439"/>
    </row>
    <row r="443" spans="1:16" x14ac:dyDescent="0.25">
      <c r="A443" s="439" t="str">
        <f t="shared" si="6"/>
        <v>0_0</v>
      </c>
      <c r="M443" s="439"/>
      <c r="N443" t="e">
        <f>VLOOKUP(A443, 'P&amp;L'!A:B,1,FALSE)</f>
        <v>#N/A</v>
      </c>
      <c r="O443" t="e">
        <f>VLOOKUP(A443, KeyData!A:C,1,FALSE)</f>
        <v>#N/A</v>
      </c>
      <c r="P443" s="439"/>
    </row>
    <row r="444" spans="1:16" x14ac:dyDescent="0.25">
      <c r="A444" s="439" t="str">
        <f t="shared" si="6"/>
        <v>0_0</v>
      </c>
      <c r="M444" s="439"/>
      <c r="N444" t="e">
        <f>VLOOKUP(A444, 'P&amp;L'!A:B,1,FALSE)</f>
        <v>#N/A</v>
      </c>
      <c r="O444" t="e">
        <f>VLOOKUP(A444, KeyData!A:C,1,FALSE)</f>
        <v>#N/A</v>
      </c>
      <c r="P444" s="439"/>
    </row>
    <row r="445" spans="1:16" x14ac:dyDescent="0.25">
      <c r="A445" s="439" t="str">
        <f t="shared" si="6"/>
        <v>0_0</v>
      </c>
      <c r="M445" s="439"/>
      <c r="N445" t="e">
        <f>VLOOKUP(A445, 'P&amp;L'!A:B,1,FALSE)</f>
        <v>#N/A</v>
      </c>
      <c r="O445" t="e">
        <f>VLOOKUP(A445, KeyData!A:C,1,FALSE)</f>
        <v>#N/A</v>
      </c>
      <c r="P445" s="439"/>
    </row>
    <row r="446" spans="1:16" x14ac:dyDescent="0.25">
      <c r="A446" s="439" t="str">
        <f t="shared" si="6"/>
        <v>0_0</v>
      </c>
      <c r="M446" s="439"/>
      <c r="N446" t="e">
        <f>VLOOKUP(A446, 'P&amp;L'!A:B,1,FALSE)</f>
        <v>#N/A</v>
      </c>
      <c r="O446" t="e">
        <f>VLOOKUP(A446, KeyData!A:C,1,FALSE)</f>
        <v>#N/A</v>
      </c>
      <c r="P446" s="439"/>
    </row>
    <row r="447" spans="1:16" x14ac:dyDescent="0.25">
      <c r="A447" s="439" t="str">
        <f t="shared" si="6"/>
        <v>0_0</v>
      </c>
      <c r="M447" s="439"/>
      <c r="N447" t="e">
        <f>VLOOKUP(A447, 'P&amp;L'!A:B,1,FALSE)</f>
        <v>#N/A</v>
      </c>
      <c r="O447" t="e">
        <f>VLOOKUP(A447, KeyData!A:C,1,FALSE)</f>
        <v>#N/A</v>
      </c>
      <c r="P447" s="439"/>
    </row>
    <row r="448" spans="1:16" x14ac:dyDescent="0.25">
      <c r="A448" s="439" t="str">
        <f t="shared" si="6"/>
        <v>0_0</v>
      </c>
      <c r="M448" s="439"/>
      <c r="N448" t="e">
        <f>VLOOKUP(A448, 'P&amp;L'!A:B,1,FALSE)</f>
        <v>#N/A</v>
      </c>
      <c r="O448" t="e">
        <f>VLOOKUP(A448, KeyData!A:C,1,FALSE)</f>
        <v>#N/A</v>
      </c>
      <c r="P448" s="439"/>
    </row>
    <row r="449" spans="1:16" x14ac:dyDescent="0.25">
      <c r="A449" s="439" t="str">
        <f t="shared" si="6"/>
        <v>0_0</v>
      </c>
      <c r="M449" s="439"/>
      <c r="N449" t="e">
        <f>VLOOKUP(A449, 'P&amp;L'!A:B,1,FALSE)</f>
        <v>#N/A</v>
      </c>
      <c r="O449" t="e">
        <f>VLOOKUP(A449, KeyData!A:C,1,FALSE)</f>
        <v>#N/A</v>
      </c>
      <c r="P449" s="439"/>
    </row>
    <row r="450" spans="1:16" x14ac:dyDescent="0.25">
      <c r="A450" s="439" t="str">
        <f t="shared" si="6"/>
        <v>0_0</v>
      </c>
      <c r="M450" s="439"/>
      <c r="N450" t="e">
        <f>VLOOKUP(A450, 'P&amp;L'!A:B,1,FALSE)</f>
        <v>#N/A</v>
      </c>
      <c r="O450" t="e">
        <f>VLOOKUP(A450, KeyData!A:C,1,FALSE)</f>
        <v>#N/A</v>
      </c>
      <c r="P450" s="439"/>
    </row>
    <row r="451" spans="1:16" x14ac:dyDescent="0.25">
      <c r="A451" s="439" t="str">
        <f t="shared" ref="A451:A514" si="7" xml:space="preserve"> IFERROR(+B451*1,B451)&amp;"_"&amp;IFERROR(+D451*1,D451)</f>
        <v>0_0</v>
      </c>
      <c r="M451" s="439"/>
      <c r="N451" t="e">
        <f>VLOOKUP(A451, 'P&amp;L'!A:B,1,FALSE)</f>
        <v>#N/A</v>
      </c>
      <c r="O451" t="e">
        <f>VLOOKUP(A451, KeyData!A:C,1,FALSE)</f>
        <v>#N/A</v>
      </c>
      <c r="P451" s="439"/>
    </row>
    <row r="452" spans="1:16" x14ac:dyDescent="0.25">
      <c r="A452" s="439" t="str">
        <f t="shared" si="7"/>
        <v>0_0</v>
      </c>
      <c r="M452" s="439"/>
      <c r="N452" t="e">
        <f>VLOOKUP(A452, 'P&amp;L'!A:B,1,FALSE)</f>
        <v>#N/A</v>
      </c>
      <c r="O452" t="e">
        <f>VLOOKUP(A452, KeyData!A:C,1,FALSE)</f>
        <v>#N/A</v>
      </c>
      <c r="P452" s="439"/>
    </row>
    <row r="453" spans="1:16" x14ac:dyDescent="0.25">
      <c r="A453" s="439" t="str">
        <f t="shared" si="7"/>
        <v>0_0</v>
      </c>
      <c r="M453" s="439"/>
      <c r="N453" t="e">
        <f>VLOOKUP(A453, 'P&amp;L'!A:B,1,FALSE)</f>
        <v>#N/A</v>
      </c>
      <c r="O453" t="e">
        <f>VLOOKUP(A453, KeyData!A:C,1,FALSE)</f>
        <v>#N/A</v>
      </c>
      <c r="P453" s="439"/>
    </row>
    <row r="454" spans="1:16" x14ac:dyDescent="0.25">
      <c r="A454" s="439" t="str">
        <f t="shared" si="7"/>
        <v>0_0</v>
      </c>
      <c r="M454" s="439"/>
      <c r="N454" t="e">
        <f>VLOOKUP(A454, 'P&amp;L'!A:B,1,FALSE)</f>
        <v>#N/A</v>
      </c>
      <c r="O454" t="e">
        <f>VLOOKUP(A454, KeyData!A:C,1,FALSE)</f>
        <v>#N/A</v>
      </c>
      <c r="P454" s="439"/>
    </row>
    <row r="455" spans="1:16" x14ac:dyDescent="0.25">
      <c r="A455" s="439" t="str">
        <f t="shared" si="7"/>
        <v>0_0</v>
      </c>
      <c r="M455" s="439"/>
      <c r="N455" t="e">
        <f>VLOOKUP(A455, 'P&amp;L'!A:B,1,FALSE)</f>
        <v>#N/A</v>
      </c>
      <c r="O455" t="e">
        <f>VLOOKUP(A455, KeyData!A:C,1,FALSE)</f>
        <v>#N/A</v>
      </c>
      <c r="P455" s="439"/>
    </row>
    <row r="456" spans="1:16" x14ac:dyDescent="0.25">
      <c r="A456" s="439" t="str">
        <f t="shared" si="7"/>
        <v>0_0</v>
      </c>
      <c r="M456" s="439"/>
      <c r="N456" t="e">
        <f>VLOOKUP(A456, 'P&amp;L'!A:B,1,FALSE)</f>
        <v>#N/A</v>
      </c>
      <c r="O456" t="e">
        <f>VLOOKUP(A456, KeyData!A:C,1,FALSE)</f>
        <v>#N/A</v>
      </c>
      <c r="P456" s="439"/>
    </row>
    <row r="457" spans="1:16" x14ac:dyDescent="0.25">
      <c r="A457" s="439" t="str">
        <f t="shared" si="7"/>
        <v>0_0</v>
      </c>
      <c r="M457" s="439"/>
      <c r="N457" t="e">
        <f>VLOOKUP(A457, 'P&amp;L'!A:B,1,FALSE)</f>
        <v>#N/A</v>
      </c>
      <c r="O457" t="e">
        <f>VLOOKUP(A457, KeyData!A:C,1,FALSE)</f>
        <v>#N/A</v>
      </c>
      <c r="P457" s="439"/>
    </row>
    <row r="458" spans="1:16" x14ac:dyDescent="0.25">
      <c r="A458" s="439" t="str">
        <f t="shared" si="7"/>
        <v>0_0</v>
      </c>
      <c r="M458" s="439"/>
      <c r="N458" t="e">
        <f>VLOOKUP(A458, 'P&amp;L'!A:B,1,FALSE)</f>
        <v>#N/A</v>
      </c>
      <c r="O458" t="e">
        <f>VLOOKUP(A458, KeyData!A:C,1,FALSE)</f>
        <v>#N/A</v>
      </c>
      <c r="P458" s="439"/>
    </row>
    <row r="459" spans="1:16" x14ac:dyDescent="0.25">
      <c r="A459" s="439" t="str">
        <f t="shared" si="7"/>
        <v>0_0</v>
      </c>
      <c r="M459" s="439"/>
      <c r="N459" t="e">
        <f>VLOOKUP(A459, 'P&amp;L'!A:B,1,FALSE)</f>
        <v>#N/A</v>
      </c>
      <c r="O459" t="e">
        <f>VLOOKUP(A459, KeyData!A:C,1,FALSE)</f>
        <v>#N/A</v>
      </c>
      <c r="P459" s="439"/>
    </row>
    <row r="460" spans="1:16" x14ac:dyDescent="0.25">
      <c r="A460" s="439" t="str">
        <f t="shared" si="7"/>
        <v>0_0</v>
      </c>
      <c r="M460" s="439"/>
      <c r="N460" t="e">
        <f>VLOOKUP(A460, 'P&amp;L'!A:B,1,FALSE)</f>
        <v>#N/A</v>
      </c>
      <c r="O460" t="e">
        <f>VLOOKUP(A460, KeyData!A:C,1,FALSE)</f>
        <v>#N/A</v>
      </c>
      <c r="P460" s="439"/>
    </row>
    <row r="461" spans="1:16" x14ac:dyDescent="0.25">
      <c r="A461" s="439" t="str">
        <f t="shared" si="7"/>
        <v>0_0</v>
      </c>
      <c r="M461" s="439"/>
      <c r="N461" t="e">
        <f>VLOOKUP(A461, 'P&amp;L'!A:B,1,FALSE)</f>
        <v>#N/A</v>
      </c>
      <c r="O461" t="e">
        <f>VLOOKUP(A461, KeyData!A:C,1,FALSE)</f>
        <v>#N/A</v>
      </c>
      <c r="P461" s="439"/>
    </row>
    <row r="462" spans="1:16" x14ac:dyDescent="0.25">
      <c r="A462" s="439" t="str">
        <f t="shared" si="7"/>
        <v>0_0</v>
      </c>
      <c r="M462" s="439"/>
      <c r="N462" t="e">
        <f>VLOOKUP(A462, 'P&amp;L'!A:B,1,FALSE)</f>
        <v>#N/A</v>
      </c>
      <c r="O462" t="e">
        <f>VLOOKUP(A462, KeyData!A:C,1,FALSE)</f>
        <v>#N/A</v>
      </c>
      <c r="P462" s="439"/>
    </row>
    <row r="463" spans="1:16" x14ac:dyDescent="0.25">
      <c r="A463" s="439" t="str">
        <f t="shared" si="7"/>
        <v>0_0</v>
      </c>
      <c r="M463" s="439"/>
      <c r="N463" t="e">
        <f>VLOOKUP(A463, 'P&amp;L'!A:B,1,FALSE)</f>
        <v>#N/A</v>
      </c>
      <c r="O463" t="e">
        <f>VLOOKUP(A463, KeyData!A:C,1,FALSE)</f>
        <v>#N/A</v>
      </c>
      <c r="P463" s="439"/>
    </row>
    <row r="464" spans="1:16" x14ac:dyDescent="0.25">
      <c r="A464" s="439" t="str">
        <f t="shared" si="7"/>
        <v>0_0</v>
      </c>
      <c r="M464" s="439"/>
      <c r="N464" t="e">
        <f>VLOOKUP(A464, 'P&amp;L'!A:B,1,FALSE)</f>
        <v>#N/A</v>
      </c>
      <c r="O464" t="e">
        <f>VLOOKUP(A464, KeyData!A:C,1,FALSE)</f>
        <v>#N/A</v>
      </c>
      <c r="P464" s="439"/>
    </row>
    <row r="465" spans="1:16" x14ac:dyDescent="0.25">
      <c r="A465" s="439" t="str">
        <f t="shared" si="7"/>
        <v>0_0</v>
      </c>
      <c r="M465" s="439"/>
      <c r="N465" t="e">
        <f>VLOOKUP(A465, 'P&amp;L'!A:B,1,FALSE)</f>
        <v>#N/A</v>
      </c>
      <c r="O465" t="e">
        <f>VLOOKUP(A465, KeyData!A:C,1,FALSE)</f>
        <v>#N/A</v>
      </c>
      <c r="P465" s="439"/>
    </row>
    <row r="466" spans="1:16" x14ac:dyDescent="0.25">
      <c r="A466" s="439" t="str">
        <f t="shared" si="7"/>
        <v>0_0</v>
      </c>
      <c r="M466" s="439"/>
      <c r="N466" t="e">
        <f>VLOOKUP(A466, 'P&amp;L'!A:B,1,FALSE)</f>
        <v>#N/A</v>
      </c>
      <c r="O466" t="e">
        <f>VLOOKUP(A466, KeyData!A:C,1,FALSE)</f>
        <v>#N/A</v>
      </c>
      <c r="P466" s="439"/>
    </row>
    <row r="467" spans="1:16" x14ac:dyDescent="0.25">
      <c r="A467" s="439" t="str">
        <f t="shared" si="7"/>
        <v>0_0</v>
      </c>
      <c r="M467" s="439"/>
      <c r="N467" t="e">
        <f>VLOOKUP(A467, 'P&amp;L'!A:B,1,FALSE)</f>
        <v>#N/A</v>
      </c>
      <c r="O467" t="e">
        <f>VLOOKUP(A467, KeyData!A:C,1,FALSE)</f>
        <v>#N/A</v>
      </c>
      <c r="P467" s="439"/>
    </row>
    <row r="468" spans="1:16" x14ac:dyDescent="0.25">
      <c r="A468" s="439" t="str">
        <f t="shared" si="7"/>
        <v>0_0</v>
      </c>
      <c r="M468" s="439"/>
      <c r="N468" t="e">
        <f>VLOOKUP(A468, 'P&amp;L'!A:B,1,FALSE)</f>
        <v>#N/A</v>
      </c>
      <c r="O468" t="e">
        <f>VLOOKUP(A468, KeyData!A:C,1,FALSE)</f>
        <v>#N/A</v>
      </c>
      <c r="P468" s="439"/>
    </row>
    <row r="469" spans="1:16" x14ac:dyDescent="0.25">
      <c r="A469" s="439" t="str">
        <f t="shared" si="7"/>
        <v>0_0</v>
      </c>
      <c r="M469" s="439"/>
      <c r="N469" t="e">
        <f>VLOOKUP(A469, 'P&amp;L'!A:B,1,FALSE)</f>
        <v>#N/A</v>
      </c>
      <c r="O469" t="e">
        <f>VLOOKUP(A469, KeyData!A:C,1,FALSE)</f>
        <v>#N/A</v>
      </c>
      <c r="P469" s="439"/>
    </row>
    <row r="470" spans="1:16" x14ac:dyDescent="0.25">
      <c r="A470" s="439" t="str">
        <f t="shared" si="7"/>
        <v>0_0</v>
      </c>
      <c r="M470" s="439"/>
      <c r="N470" t="e">
        <f>VLOOKUP(A470, 'P&amp;L'!A:B,1,FALSE)</f>
        <v>#N/A</v>
      </c>
      <c r="O470" t="e">
        <f>VLOOKUP(A470, KeyData!A:C,1,FALSE)</f>
        <v>#N/A</v>
      </c>
      <c r="P470" s="439"/>
    </row>
    <row r="471" spans="1:16" x14ac:dyDescent="0.25">
      <c r="A471" s="439" t="str">
        <f t="shared" si="7"/>
        <v>0_0</v>
      </c>
      <c r="M471" s="439"/>
      <c r="N471" t="e">
        <f>VLOOKUP(A471, 'P&amp;L'!A:B,1,FALSE)</f>
        <v>#N/A</v>
      </c>
      <c r="O471" t="e">
        <f>VLOOKUP(A471, KeyData!A:C,1,FALSE)</f>
        <v>#N/A</v>
      </c>
      <c r="P471" s="439"/>
    </row>
    <row r="472" spans="1:16" x14ac:dyDescent="0.25">
      <c r="A472" s="439" t="str">
        <f t="shared" si="7"/>
        <v>0_0</v>
      </c>
      <c r="M472" s="439"/>
      <c r="N472" t="e">
        <f>VLOOKUP(A472, 'P&amp;L'!A:B,1,FALSE)</f>
        <v>#N/A</v>
      </c>
      <c r="O472" t="e">
        <f>VLOOKUP(A472, KeyData!A:C,1,FALSE)</f>
        <v>#N/A</v>
      </c>
      <c r="P472" s="439"/>
    </row>
    <row r="473" spans="1:16" x14ac:dyDescent="0.25">
      <c r="A473" s="439" t="str">
        <f t="shared" si="7"/>
        <v>0_0</v>
      </c>
      <c r="M473" s="439"/>
      <c r="N473" t="e">
        <f>VLOOKUP(A473, 'P&amp;L'!A:B,1,FALSE)</f>
        <v>#N/A</v>
      </c>
      <c r="O473" t="e">
        <f>VLOOKUP(A473, KeyData!A:C,1,FALSE)</f>
        <v>#N/A</v>
      </c>
      <c r="P473" s="439"/>
    </row>
    <row r="474" spans="1:16" x14ac:dyDescent="0.25">
      <c r="A474" s="439" t="str">
        <f t="shared" si="7"/>
        <v>0_0</v>
      </c>
      <c r="M474" s="439"/>
      <c r="N474" t="e">
        <f>VLOOKUP(A474, 'P&amp;L'!A:B,1,FALSE)</f>
        <v>#N/A</v>
      </c>
      <c r="O474" t="e">
        <f>VLOOKUP(A474, KeyData!A:C,1,FALSE)</f>
        <v>#N/A</v>
      </c>
      <c r="P474" s="439"/>
    </row>
    <row r="475" spans="1:16" x14ac:dyDescent="0.25">
      <c r="A475" s="439" t="str">
        <f t="shared" si="7"/>
        <v>0_0</v>
      </c>
      <c r="M475" s="439"/>
      <c r="N475" t="e">
        <f>VLOOKUP(A475, 'P&amp;L'!A:B,1,FALSE)</f>
        <v>#N/A</v>
      </c>
      <c r="O475" t="e">
        <f>VLOOKUP(A475, KeyData!A:C,1,FALSE)</f>
        <v>#N/A</v>
      </c>
      <c r="P475" s="439"/>
    </row>
    <row r="476" spans="1:16" x14ac:dyDescent="0.25">
      <c r="A476" s="439" t="str">
        <f t="shared" si="7"/>
        <v>0_0</v>
      </c>
      <c r="M476" s="439"/>
      <c r="N476" t="e">
        <f>VLOOKUP(A476, 'P&amp;L'!A:B,1,FALSE)</f>
        <v>#N/A</v>
      </c>
      <c r="O476" t="e">
        <f>VLOOKUP(A476, KeyData!A:C,1,FALSE)</f>
        <v>#N/A</v>
      </c>
      <c r="P476" s="439"/>
    </row>
    <row r="477" spans="1:16" x14ac:dyDescent="0.25">
      <c r="A477" s="439" t="str">
        <f t="shared" si="7"/>
        <v>0_0</v>
      </c>
      <c r="M477" s="439"/>
      <c r="N477" t="e">
        <f>VLOOKUP(A477, 'P&amp;L'!A:B,1,FALSE)</f>
        <v>#N/A</v>
      </c>
      <c r="O477" t="e">
        <f>VLOOKUP(A477, KeyData!A:C,1,FALSE)</f>
        <v>#N/A</v>
      </c>
      <c r="P477" s="439"/>
    </row>
    <row r="478" spans="1:16" x14ac:dyDescent="0.25">
      <c r="A478" s="439" t="str">
        <f t="shared" si="7"/>
        <v>0_0</v>
      </c>
      <c r="M478" s="439"/>
      <c r="N478" t="e">
        <f>VLOOKUP(A478, 'P&amp;L'!A:B,1,FALSE)</f>
        <v>#N/A</v>
      </c>
      <c r="O478" t="e">
        <f>VLOOKUP(A478, KeyData!A:C,1,FALSE)</f>
        <v>#N/A</v>
      </c>
      <c r="P478" s="439"/>
    </row>
    <row r="479" spans="1:16" x14ac:dyDescent="0.25">
      <c r="A479" s="439" t="str">
        <f t="shared" si="7"/>
        <v>0_0</v>
      </c>
      <c r="M479" s="439"/>
      <c r="N479" t="e">
        <f>VLOOKUP(A479, 'P&amp;L'!A:B,1,FALSE)</f>
        <v>#N/A</v>
      </c>
      <c r="O479" t="e">
        <f>VLOOKUP(A479, KeyData!A:C,1,FALSE)</f>
        <v>#N/A</v>
      </c>
      <c r="P479" s="439"/>
    </row>
    <row r="480" spans="1:16" x14ac:dyDescent="0.25">
      <c r="A480" s="439" t="str">
        <f t="shared" si="7"/>
        <v>0_0</v>
      </c>
      <c r="M480" s="439"/>
      <c r="N480" t="e">
        <f>VLOOKUP(A480, 'P&amp;L'!A:B,1,FALSE)</f>
        <v>#N/A</v>
      </c>
      <c r="O480" t="e">
        <f>VLOOKUP(A480, KeyData!A:C,1,FALSE)</f>
        <v>#N/A</v>
      </c>
      <c r="P480" s="439"/>
    </row>
    <row r="481" spans="1:16" x14ac:dyDescent="0.25">
      <c r="A481" s="439" t="str">
        <f t="shared" si="7"/>
        <v>0_0</v>
      </c>
      <c r="M481" s="439"/>
      <c r="N481" t="e">
        <f>VLOOKUP(A481, 'P&amp;L'!A:B,1,FALSE)</f>
        <v>#N/A</v>
      </c>
      <c r="O481" t="e">
        <f>VLOOKUP(A481, KeyData!A:C,1,FALSE)</f>
        <v>#N/A</v>
      </c>
      <c r="P481" s="439"/>
    </row>
    <row r="482" spans="1:16" x14ac:dyDescent="0.25">
      <c r="A482" s="439" t="str">
        <f t="shared" si="7"/>
        <v>0_0</v>
      </c>
      <c r="M482" s="439"/>
      <c r="N482" t="e">
        <f>VLOOKUP(A482, 'P&amp;L'!A:B,1,FALSE)</f>
        <v>#N/A</v>
      </c>
      <c r="O482" t="e">
        <f>VLOOKUP(A482, KeyData!A:C,1,FALSE)</f>
        <v>#N/A</v>
      </c>
      <c r="P482" s="439"/>
    </row>
    <row r="483" spans="1:16" x14ac:dyDescent="0.25">
      <c r="A483" s="439" t="str">
        <f t="shared" si="7"/>
        <v>0_0</v>
      </c>
      <c r="M483" s="439"/>
      <c r="N483" t="e">
        <f>VLOOKUP(A483, 'P&amp;L'!A:B,1,FALSE)</f>
        <v>#N/A</v>
      </c>
      <c r="O483" t="e">
        <f>VLOOKUP(A483, KeyData!A:C,1,FALSE)</f>
        <v>#N/A</v>
      </c>
      <c r="P483" s="439"/>
    </row>
    <row r="484" spans="1:16" x14ac:dyDescent="0.25">
      <c r="A484" s="439" t="str">
        <f t="shared" si="7"/>
        <v>0_0</v>
      </c>
      <c r="M484" s="439"/>
      <c r="N484" t="e">
        <f>VLOOKUP(A484, 'P&amp;L'!A:B,1,FALSE)</f>
        <v>#N/A</v>
      </c>
      <c r="O484" t="e">
        <f>VLOOKUP(A484, KeyData!A:C,1,FALSE)</f>
        <v>#N/A</v>
      </c>
      <c r="P484" s="439"/>
    </row>
    <row r="485" spans="1:16" x14ac:dyDescent="0.25">
      <c r="A485" s="439" t="str">
        <f t="shared" si="7"/>
        <v>0_0</v>
      </c>
      <c r="M485" s="439"/>
      <c r="N485" t="e">
        <f>VLOOKUP(A485, 'P&amp;L'!A:B,1,FALSE)</f>
        <v>#N/A</v>
      </c>
      <c r="O485" t="e">
        <f>VLOOKUP(A485, KeyData!A:C,1,FALSE)</f>
        <v>#N/A</v>
      </c>
      <c r="P485" s="439"/>
    </row>
    <row r="486" spans="1:16" x14ac:dyDescent="0.25">
      <c r="A486" s="439" t="str">
        <f t="shared" si="7"/>
        <v>0_0</v>
      </c>
      <c r="M486" s="439"/>
      <c r="N486" t="e">
        <f>VLOOKUP(A486, 'P&amp;L'!A:B,1,FALSE)</f>
        <v>#N/A</v>
      </c>
      <c r="O486" t="e">
        <f>VLOOKUP(A486, KeyData!A:C,1,FALSE)</f>
        <v>#N/A</v>
      </c>
      <c r="P486" s="439"/>
    </row>
    <row r="487" spans="1:16" x14ac:dyDescent="0.25">
      <c r="A487" s="439" t="str">
        <f t="shared" si="7"/>
        <v>0_0</v>
      </c>
      <c r="M487" s="439"/>
      <c r="N487" t="e">
        <f>VLOOKUP(A487, 'P&amp;L'!A:B,1,FALSE)</f>
        <v>#N/A</v>
      </c>
      <c r="O487" t="e">
        <f>VLOOKUP(A487, KeyData!A:C,1,FALSE)</f>
        <v>#N/A</v>
      </c>
      <c r="P487" s="439"/>
    </row>
    <row r="488" spans="1:16" x14ac:dyDescent="0.25">
      <c r="A488" s="439" t="str">
        <f t="shared" si="7"/>
        <v>0_0</v>
      </c>
      <c r="M488" s="439"/>
      <c r="N488" t="e">
        <f>VLOOKUP(A488, 'P&amp;L'!A:B,1,FALSE)</f>
        <v>#N/A</v>
      </c>
      <c r="O488" t="e">
        <f>VLOOKUP(A488, KeyData!A:C,1,FALSE)</f>
        <v>#N/A</v>
      </c>
      <c r="P488" s="439"/>
    </row>
    <row r="489" spans="1:16" x14ac:dyDescent="0.25">
      <c r="A489" s="439" t="str">
        <f t="shared" si="7"/>
        <v>0_0</v>
      </c>
      <c r="M489" s="439"/>
      <c r="N489" t="e">
        <f>VLOOKUP(A489, 'P&amp;L'!A:B,1,FALSE)</f>
        <v>#N/A</v>
      </c>
      <c r="O489" t="e">
        <f>VLOOKUP(A489, KeyData!A:C,1,FALSE)</f>
        <v>#N/A</v>
      </c>
      <c r="P489" s="439"/>
    </row>
    <row r="490" spans="1:16" x14ac:dyDescent="0.25">
      <c r="A490" s="439" t="str">
        <f t="shared" si="7"/>
        <v>0_0</v>
      </c>
      <c r="M490" s="439"/>
      <c r="N490" t="e">
        <f>VLOOKUP(A490, 'P&amp;L'!A:B,1,FALSE)</f>
        <v>#N/A</v>
      </c>
      <c r="O490" t="e">
        <f>VLOOKUP(A490, KeyData!A:C,1,FALSE)</f>
        <v>#N/A</v>
      </c>
      <c r="P490" s="439"/>
    </row>
    <row r="491" spans="1:16" x14ac:dyDescent="0.25">
      <c r="A491" s="439" t="str">
        <f t="shared" si="7"/>
        <v>0_0</v>
      </c>
      <c r="M491" s="439"/>
      <c r="N491" t="e">
        <f>VLOOKUP(A491, 'P&amp;L'!A:B,1,FALSE)</f>
        <v>#N/A</v>
      </c>
      <c r="O491" t="e">
        <f>VLOOKUP(A491, KeyData!A:C,1,FALSE)</f>
        <v>#N/A</v>
      </c>
      <c r="P491" s="439"/>
    </row>
    <row r="492" spans="1:16" x14ac:dyDescent="0.25">
      <c r="A492" s="439" t="str">
        <f t="shared" si="7"/>
        <v>0_0</v>
      </c>
      <c r="M492" s="439"/>
      <c r="N492" t="e">
        <f>VLOOKUP(A492, 'P&amp;L'!A:B,1,FALSE)</f>
        <v>#N/A</v>
      </c>
      <c r="O492" t="e">
        <f>VLOOKUP(A492, KeyData!A:C,1,FALSE)</f>
        <v>#N/A</v>
      </c>
      <c r="P492" s="439"/>
    </row>
    <row r="493" spans="1:16" x14ac:dyDescent="0.25">
      <c r="A493" s="439" t="str">
        <f t="shared" si="7"/>
        <v>0_0</v>
      </c>
      <c r="M493" s="439"/>
      <c r="N493" t="e">
        <f>VLOOKUP(A493, 'P&amp;L'!A:B,1,FALSE)</f>
        <v>#N/A</v>
      </c>
      <c r="O493" t="e">
        <f>VLOOKUP(A493, KeyData!A:C,1,FALSE)</f>
        <v>#N/A</v>
      </c>
      <c r="P493" s="439"/>
    </row>
    <row r="494" spans="1:16" x14ac:dyDescent="0.25">
      <c r="A494" s="439" t="str">
        <f t="shared" si="7"/>
        <v>0_0</v>
      </c>
      <c r="M494" s="439"/>
      <c r="N494" t="e">
        <f>VLOOKUP(A494, 'P&amp;L'!A:B,1,FALSE)</f>
        <v>#N/A</v>
      </c>
      <c r="O494" t="e">
        <f>VLOOKUP(A494, KeyData!A:C,1,FALSE)</f>
        <v>#N/A</v>
      </c>
      <c r="P494" s="439"/>
    </row>
    <row r="495" spans="1:16" x14ac:dyDescent="0.25">
      <c r="A495" s="439" t="str">
        <f t="shared" si="7"/>
        <v>0_0</v>
      </c>
      <c r="M495" s="439"/>
      <c r="N495" t="e">
        <f>VLOOKUP(A495, 'P&amp;L'!A:B,1,FALSE)</f>
        <v>#N/A</v>
      </c>
      <c r="O495" t="e">
        <f>VLOOKUP(A495, KeyData!A:C,1,FALSE)</f>
        <v>#N/A</v>
      </c>
      <c r="P495" s="439"/>
    </row>
    <row r="496" spans="1:16" x14ac:dyDescent="0.25">
      <c r="A496" s="439" t="str">
        <f t="shared" si="7"/>
        <v>0_0</v>
      </c>
      <c r="M496" s="439"/>
      <c r="N496" t="e">
        <f>VLOOKUP(A496, 'P&amp;L'!A:B,1,FALSE)</f>
        <v>#N/A</v>
      </c>
      <c r="O496" t="e">
        <f>VLOOKUP(A496, KeyData!A:C,1,FALSE)</f>
        <v>#N/A</v>
      </c>
      <c r="P496" s="439"/>
    </row>
    <row r="497" spans="1:16" x14ac:dyDescent="0.25">
      <c r="A497" s="439" t="str">
        <f t="shared" si="7"/>
        <v>0_0</v>
      </c>
      <c r="M497" s="439"/>
      <c r="N497" t="e">
        <f>VLOOKUP(A497, 'P&amp;L'!A:B,1,FALSE)</f>
        <v>#N/A</v>
      </c>
      <c r="O497" t="e">
        <f>VLOOKUP(A497, KeyData!A:C,1,FALSE)</f>
        <v>#N/A</v>
      </c>
      <c r="P497" s="439"/>
    </row>
    <row r="498" spans="1:16" x14ac:dyDescent="0.25">
      <c r="A498" s="439" t="str">
        <f t="shared" si="7"/>
        <v>0_0</v>
      </c>
      <c r="M498" s="439"/>
      <c r="N498" t="e">
        <f>VLOOKUP(A498, 'P&amp;L'!A:B,1,FALSE)</f>
        <v>#N/A</v>
      </c>
      <c r="O498" t="e">
        <f>VLOOKUP(A498, KeyData!A:C,1,FALSE)</f>
        <v>#N/A</v>
      </c>
      <c r="P498" s="439"/>
    </row>
    <row r="499" spans="1:16" x14ac:dyDescent="0.25">
      <c r="A499" s="439" t="str">
        <f t="shared" si="7"/>
        <v>0_0</v>
      </c>
      <c r="M499" s="439"/>
      <c r="N499" t="e">
        <f>VLOOKUP(A499, 'P&amp;L'!A:B,1,FALSE)</f>
        <v>#N/A</v>
      </c>
      <c r="O499" t="e">
        <f>VLOOKUP(A499, KeyData!A:C,1,FALSE)</f>
        <v>#N/A</v>
      </c>
      <c r="P499" s="439"/>
    </row>
    <row r="500" spans="1:16" x14ac:dyDescent="0.25">
      <c r="A500" s="439" t="str">
        <f t="shared" si="7"/>
        <v>0_0</v>
      </c>
      <c r="M500" s="439"/>
      <c r="N500" t="e">
        <f>VLOOKUP(A500, 'P&amp;L'!A:B,1,FALSE)</f>
        <v>#N/A</v>
      </c>
      <c r="O500" t="e">
        <f>VLOOKUP(A500, KeyData!A:C,1,FALSE)</f>
        <v>#N/A</v>
      </c>
      <c r="P500" s="439"/>
    </row>
    <row r="501" spans="1:16" x14ac:dyDescent="0.25">
      <c r="A501" s="439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 x14ac:dyDescent="0.25">
      <c r="A502" s="439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 x14ac:dyDescent="0.25">
      <c r="A503" s="439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 x14ac:dyDescent="0.25">
      <c r="A504" s="439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 x14ac:dyDescent="0.25">
      <c r="A505" s="439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 x14ac:dyDescent="0.25">
      <c r="A506" s="439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 x14ac:dyDescent="0.25">
      <c r="A507" s="439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 x14ac:dyDescent="0.25">
      <c r="A508" s="439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 x14ac:dyDescent="0.25">
      <c r="A509" s="439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 x14ac:dyDescent="0.25">
      <c r="A510" s="439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 x14ac:dyDescent="0.25">
      <c r="A511" s="439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 x14ac:dyDescent="0.25">
      <c r="A512" s="439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 x14ac:dyDescent="0.25">
      <c r="A513" s="439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 x14ac:dyDescent="0.25">
      <c r="A514" s="439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 x14ac:dyDescent="0.25">
      <c r="A515" s="439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 x14ac:dyDescent="0.25">
      <c r="A516" s="439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 x14ac:dyDescent="0.25">
      <c r="A517" s="439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 x14ac:dyDescent="0.25">
      <c r="A518" s="439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 x14ac:dyDescent="0.25">
      <c r="A519" s="439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 x14ac:dyDescent="0.25">
      <c r="A520" s="439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 x14ac:dyDescent="0.25">
      <c r="A521" s="439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 x14ac:dyDescent="0.25">
      <c r="A522" s="439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 x14ac:dyDescent="0.25">
      <c r="A523" s="439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 x14ac:dyDescent="0.25">
      <c r="A524" s="439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 x14ac:dyDescent="0.25">
      <c r="A525" s="439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 x14ac:dyDescent="0.25">
      <c r="A526" s="439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 x14ac:dyDescent="0.25">
      <c r="A527" s="439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 x14ac:dyDescent="0.25">
      <c r="A528" s="439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 x14ac:dyDescent="0.25">
      <c r="A529" s="439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 x14ac:dyDescent="0.25">
      <c r="A530" s="439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 x14ac:dyDescent="0.25">
      <c r="A531" s="439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 x14ac:dyDescent="0.25">
      <c r="A532" s="439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 x14ac:dyDescent="0.25">
      <c r="A533" s="439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 x14ac:dyDescent="0.25">
      <c r="A534" s="439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 x14ac:dyDescent="0.25">
      <c r="A535" s="439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 x14ac:dyDescent="0.25">
      <c r="A536" s="439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 x14ac:dyDescent="0.25">
      <c r="A537" s="439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 x14ac:dyDescent="0.25">
      <c r="A538" s="439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 x14ac:dyDescent="0.25">
      <c r="A539" s="439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 x14ac:dyDescent="0.25">
      <c r="A540" s="439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 x14ac:dyDescent="0.25">
      <c r="A541" s="439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 x14ac:dyDescent="0.25">
      <c r="A542" s="439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 x14ac:dyDescent="0.25">
      <c r="A543" s="439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 x14ac:dyDescent="0.25">
      <c r="A544" s="439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 x14ac:dyDescent="0.25">
      <c r="A545" s="439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 x14ac:dyDescent="0.25">
      <c r="A546" s="439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 x14ac:dyDescent="0.25">
      <c r="A547" s="439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 x14ac:dyDescent="0.25">
      <c r="A548" s="439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 x14ac:dyDescent="0.25">
      <c r="A549" s="439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 x14ac:dyDescent="0.25">
      <c r="A550" s="439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 x14ac:dyDescent="0.25">
      <c r="A551" s="439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 x14ac:dyDescent="0.25">
      <c r="A552" s="439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 x14ac:dyDescent="0.25">
      <c r="A553" s="439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 x14ac:dyDescent="0.25">
      <c r="A554" s="439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 x14ac:dyDescent="0.25">
      <c r="A555" s="439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 x14ac:dyDescent="0.25">
      <c r="A556" s="439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 x14ac:dyDescent="0.25">
      <c r="A557" s="439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 x14ac:dyDescent="0.25">
      <c r="A558" s="439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 x14ac:dyDescent="0.25">
      <c r="A559" s="439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 x14ac:dyDescent="0.25">
      <c r="A560" s="439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 x14ac:dyDescent="0.25">
      <c r="A561" s="439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 x14ac:dyDescent="0.25">
      <c r="A562" s="439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 x14ac:dyDescent="0.25">
      <c r="A563" s="439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 x14ac:dyDescent="0.25">
      <c r="A564" s="439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 x14ac:dyDescent="0.25">
      <c r="A565" s="439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 x14ac:dyDescent="0.25">
      <c r="A566" s="439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 x14ac:dyDescent="0.25">
      <c r="A567" s="439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 x14ac:dyDescent="0.25">
      <c r="A568" s="439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 x14ac:dyDescent="0.25">
      <c r="A569" s="439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 x14ac:dyDescent="0.25">
      <c r="A570" s="439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 x14ac:dyDescent="0.25">
      <c r="A571" s="439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 x14ac:dyDescent="0.25">
      <c r="A572" s="439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 x14ac:dyDescent="0.25">
      <c r="A573" s="439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 x14ac:dyDescent="0.25">
      <c r="A574" s="439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 x14ac:dyDescent="0.25">
      <c r="A575" s="439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 x14ac:dyDescent="0.25">
      <c r="A576" s="439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 x14ac:dyDescent="0.25">
      <c r="A577" s="439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 x14ac:dyDescent="0.25">
      <c r="A578" s="439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 x14ac:dyDescent="0.25">
      <c r="A579" s="439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 x14ac:dyDescent="0.25">
      <c r="A580" s="439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 x14ac:dyDescent="0.25">
      <c r="A581" s="439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 x14ac:dyDescent="0.25">
      <c r="A582" s="439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 x14ac:dyDescent="0.25">
      <c r="A583" s="439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 x14ac:dyDescent="0.25">
      <c r="A584" s="439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 x14ac:dyDescent="0.25">
      <c r="A585" s="439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 x14ac:dyDescent="0.25">
      <c r="A586" s="439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 x14ac:dyDescent="0.25">
      <c r="A587" s="439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 x14ac:dyDescent="0.25">
      <c r="A588" s="439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 x14ac:dyDescent="0.25">
      <c r="A589" s="439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 x14ac:dyDescent="0.25">
      <c r="A590" s="439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 x14ac:dyDescent="0.25">
      <c r="A591" s="439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 x14ac:dyDescent="0.25">
      <c r="A592" s="439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 x14ac:dyDescent="0.25">
      <c r="A593" s="439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 x14ac:dyDescent="0.25">
      <c r="A594" s="439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 x14ac:dyDescent="0.25">
      <c r="A595" s="439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 x14ac:dyDescent="0.25">
      <c r="A596" s="439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 x14ac:dyDescent="0.25">
      <c r="A597" s="439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 x14ac:dyDescent="0.25">
      <c r="A598" s="439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 x14ac:dyDescent="0.25">
      <c r="A599" s="439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 x14ac:dyDescent="0.25">
      <c r="A600" s="439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 x14ac:dyDescent="0.25">
      <c r="A601" s="439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 x14ac:dyDescent="0.25">
      <c r="A602" s="439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 x14ac:dyDescent="0.25">
      <c r="A603" s="439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 x14ac:dyDescent="0.25">
      <c r="A604" s="439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 x14ac:dyDescent="0.25">
      <c r="A605" s="439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 x14ac:dyDescent="0.25">
      <c r="A606" s="439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 x14ac:dyDescent="0.25">
      <c r="A607" s="439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 x14ac:dyDescent="0.25">
      <c r="A608" s="439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 x14ac:dyDescent="0.25">
      <c r="A609" s="439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 x14ac:dyDescent="0.25">
      <c r="A610" s="439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 x14ac:dyDescent="0.25">
      <c r="A611" s="439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 x14ac:dyDescent="0.25">
      <c r="A612" s="439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 x14ac:dyDescent="0.25">
      <c r="A613" s="439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 x14ac:dyDescent="0.25">
      <c r="A614" s="439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 x14ac:dyDescent="0.25">
      <c r="A615" s="439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 x14ac:dyDescent="0.25">
      <c r="A616" s="439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 x14ac:dyDescent="0.25">
      <c r="A617" s="439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 x14ac:dyDescent="0.25">
      <c r="A618" s="439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 x14ac:dyDescent="0.25">
      <c r="A619" s="439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 x14ac:dyDescent="0.25">
      <c r="A620" s="439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 x14ac:dyDescent="0.25">
      <c r="A621" s="439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 x14ac:dyDescent="0.25">
      <c r="A622" s="439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 x14ac:dyDescent="0.25">
      <c r="A623" s="439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 x14ac:dyDescent="0.25">
      <c r="A624" s="439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 x14ac:dyDescent="0.25">
      <c r="A625" s="439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 x14ac:dyDescent="0.25">
      <c r="A626" s="439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 x14ac:dyDescent="0.25">
      <c r="A627" s="439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 x14ac:dyDescent="0.25">
      <c r="A628" s="439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 x14ac:dyDescent="0.25">
      <c r="A629" s="439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 x14ac:dyDescent="0.25">
      <c r="A630" s="439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 x14ac:dyDescent="0.25">
      <c r="A631" s="439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 x14ac:dyDescent="0.25">
      <c r="A632" s="439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 x14ac:dyDescent="0.25">
      <c r="A633" s="439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 x14ac:dyDescent="0.25">
      <c r="A634" s="439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 x14ac:dyDescent="0.25">
      <c r="A635" s="439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 x14ac:dyDescent="0.25">
      <c r="A636" s="439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 x14ac:dyDescent="0.25">
      <c r="A637" s="439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 x14ac:dyDescent="0.25">
      <c r="A638" s="439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 x14ac:dyDescent="0.25">
      <c r="A639" s="439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 x14ac:dyDescent="0.25">
      <c r="A640" s="439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 x14ac:dyDescent="0.25">
      <c r="A641" s="439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 x14ac:dyDescent="0.25">
      <c r="A642" s="439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 x14ac:dyDescent="0.25">
      <c r="A643" s="439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 x14ac:dyDescent="0.25">
      <c r="A644" s="439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 x14ac:dyDescent="0.25">
      <c r="A645" s="439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 x14ac:dyDescent="0.25">
      <c r="A646" s="439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 x14ac:dyDescent="0.25">
      <c r="A647" s="439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 x14ac:dyDescent="0.25">
      <c r="A648" s="439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 x14ac:dyDescent="0.25">
      <c r="A649" s="439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 x14ac:dyDescent="0.25">
      <c r="A650" s="439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 x14ac:dyDescent="0.25">
      <c r="A651" s="439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 x14ac:dyDescent="0.25">
      <c r="A652" s="439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 x14ac:dyDescent="0.25">
      <c r="A653" s="439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 x14ac:dyDescent="0.25">
      <c r="A654" s="439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 x14ac:dyDescent="0.25">
      <c r="A655" s="439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 x14ac:dyDescent="0.25">
      <c r="A656" s="439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 x14ac:dyDescent="0.25">
      <c r="A657" s="439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 x14ac:dyDescent="0.25">
      <c r="A658" s="439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 x14ac:dyDescent="0.25">
      <c r="A659" s="439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 x14ac:dyDescent="0.25">
      <c r="A660" s="439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 x14ac:dyDescent="0.25">
      <c r="A661" s="439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 x14ac:dyDescent="0.25">
      <c r="A662" s="439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 x14ac:dyDescent="0.25">
      <c r="A663" s="439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 x14ac:dyDescent="0.25">
      <c r="A664" s="439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 x14ac:dyDescent="0.25">
      <c r="A665" s="439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 x14ac:dyDescent="0.25">
      <c r="A666" s="439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 x14ac:dyDescent="0.25">
      <c r="A667" s="439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 x14ac:dyDescent="0.25">
      <c r="A668" s="439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 x14ac:dyDescent="0.25">
      <c r="A669" s="439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 x14ac:dyDescent="0.25">
      <c r="A670" s="439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 x14ac:dyDescent="0.25">
      <c r="A671" s="439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 x14ac:dyDescent="0.25">
      <c r="A672" s="439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 x14ac:dyDescent="0.25">
      <c r="A673" s="439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 x14ac:dyDescent="0.25">
      <c r="A674" s="439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 x14ac:dyDescent="0.25">
      <c r="A675" s="439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 x14ac:dyDescent="0.25">
      <c r="A676" s="439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 x14ac:dyDescent="0.25">
      <c r="A677" s="439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 x14ac:dyDescent="0.25">
      <c r="A678" s="439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 x14ac:dyDescent="0.25">
      <c r="A679" s="439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 x14ac:dyDescent="0.25">
      <c r="A680" s="439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 x14ac:dyDescent="0.25">
      <c r="A681" s="439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 x14ac:dyDescent="0.25">
      <c r="A682" s="439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 x14ac:dyDescent="0.25">
      <c r="A683" s="439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 x14ac:dyDescent="0.25">
      <c r="A684" s="439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 x14ac:dyDescent="0.25">
      <c r="A685" s="439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 x14ac:dyDescent="0.25">
      <c r="A686" s="439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 x14ac:dyDescent="0.25">
      <c r="A687" s="439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 x14ac:dyDescent="0.25">
      <c r="A688" s="439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 x14ac:dyDescent="0.25">
      <c r="A689" s="439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 x14ac:dyDescent="0.25">
      <c r="A690" s="439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 x14ac:dyDescent="0.25">
      <c r="A691" s="439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 x14ac:dyDescent="0.25">
      <c r="A692" s="439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 x14ac:dyDescent="0.25">
      <c r="A693" s="439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 x14ac:dyDescent="0.25">
      <c r="A694" s="439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 x14ac:dyDescent="0.25">
      <c r="A695" s="439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 x14ac:dyDescent="0.25">
      <c r="A696" s="439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 x14ac:dyDescent="0.25">
      <c r="A697" s="439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 x14ac:dyDescent="0.25">
      <c r="A698" s="439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 x14ac:dyDescent="0.25">
      <c r="A699" s="439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 x14ac:dyDescent="0.25">
      <c r="A700" s="439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 x14ac:dyDescent="0.25">
      <c r="A701" s="439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 x14ac:dyDescent="0.25">
      <c r="A702" s="439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 x14ac:dyDescent="0.25">
      <c r="A703" s="439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 x14ac:dyDescent="0.25">
      <c r="A704" s="439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 x14ac:dyDescent="0.25">
      <c r="A705" s="439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 x14ac:dyDescent="0.25">
      <c r="A706" s="439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 x14ac:dyDescent="0.25">
      <c r="A707" s="439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 x14ac:dyDescent="0.25">
      <c r="A708" s="439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 x14ac:dyDescent="0.25">
      <c r="A709" s="439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 x14ac:dyDescent="0.25">
      <c r="A710" s="439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 x14ac:dyDescent="0.25">
      <c r="A711" s="439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 x14ac:dyDescent="0.25">
      <c r="A712" s="439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 x14ac:dyDescent="0.25">
      <c r="A713" s="439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 x14ac:dyDescent="0.25">
      <c r="A714" s="439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 x14ac:dyDescent="0.25">
      <c r="A715" s="439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 x14ac:dyDescent="0.25">
      <c r="A716" s="439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 x14ac:dyDescent="0.25">
      <c r="A717" s="439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 x14ac:dyDescent="0.25">
      <c r="A718" s="439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 x14ac:dyDescent="0.25">
      <c r="A719" s="439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 x14ac:dyDescent="0.25">
      <c r="A720" s="439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 x14ac:dyDescent="0.25">
      <c r="A721" s="439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 x14ac:dyDescent="0.25">
      <c r="A722" s="439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 x14ac:dyDescent="0.25">
      <c r="A723" s="439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 x14ac:dyDescent="0.25">
      <c r="A724" s="439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 x14ac:dyDescent="0.25">
      <c r="A725" s="439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 x14ac:dyDescent="0.25">
      <c r="A726" s="439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 x14ac:dyDescent="0.25">
      <c r="A727" s="439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 x14ac:dyDescent="0.25">
      <c r="A728" s="439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 x14ac:dyDescent="0.25">
      <c r="A729" s="439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 x14ac:dyDescent="0.25">
      <c r="A730" s="439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 x14ac:dyDescent="0.25">
      <c r="A731" s="439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 x14ac:dyDescent="0.25">
      <c r="A732" s="439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 x14ac:dyDescent="0.25">
      <c r="A733" s="439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 x14ac:dyDescent="0.25">
      <c r="A734" s="439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 x14ac:dyDescent="0.25">
      <c r="A735" s="439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 x14ac:dyDescent="0.25">
      <c r="A736" s="439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 x14ac:dyDescent="0.25">
      <c r="A737" s="439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 x14ac:dyDescent="0.25">
      <c r="A738" s="439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 x14ac:dyDescent="0.25">
      <c r="A739" s="439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 x14ac:dyDescent="0.25">
      <c r="A740" s="439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 x14ac:dyDescent="0.25">
      <c r="A741" s="439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 x14ac:dyDescent="0.25">
      <c r="A742" s="439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 x14ac:dyDescent="0.25">
      <c r="A743" s="439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 x14ac:dyDescent="0.25">
      <c r="A744" s="439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 x14ac:dyDescent="0.25">
      <c r="A745" s="439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 x14ac:dyDescent="0.25">
      <c r="A746" s="439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 x14ac:dyDescent="0.25">
      <c r="A747" s="439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 x14ac:dyDescent="0.25">
      <c r="A748" s="439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 x14ac:dyDescent="0.25">
      <c r="A749" s="439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 x14ac:dyDescent="0.25">
      <c r="A750" s="439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 x14ac:dyDescent="0.25">
      <c r="A751" s="439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 x14ac:dyDescent="0.25">
      <c r="A752" s="439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 x14ac:dyDescent="0.25">
      <c r="A753" s="439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 x14ac:dyDescent="0.25">
      <c r="A754" s="439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 x14ac:dyDescent="0.25">
      <c r="A755" s="439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 x14ac:dyDescent="0.25">
      <c r="A756" s="439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 x14ac:dyDescent="0.25">
      <c r="A757" s="439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 x14ac:dyDescent="0.25">
      <c r="A758" s="439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 x14ac:dyDescent="0.25">
      <c r="A759" s="439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 x14ac:dyDescent="0.25">
      <c r="A760" s="439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 x14ac:dyDescent="0.25">
      <c r="A761" s="439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 x14ac:dyDescent="0.25">
      <c r="A762" s="439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 x14ac:dyDescent="0.25">
      <c r="A763" s="439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 x14ac:dyDescent="0.25">
      <c r="A764" s="439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 x14ac:dyDescent="0.25">
      <c r="A765" s="439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 x14ac:dyDescent="0.25">
      <c r="A766" s="439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 x14ac:dyDescent="0.25">
      <c r="A767" s="439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 x14ac:dyDescent="0.25">
      <c r="A768" s="439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 x14ac:dyDescent="0.25">
      <c r="A769" s="439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 x14ac:dyDescent="0.25">
      <c r="A770" s="439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 x14ac:dyDescent="0.25">
      <c r="A771" s="439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 x14ac:dyDescent="0.25">
      <c r="A772" s="439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 x14ac:dyDescent="0.25">
      <c r="A773" s="439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 x14ac:dyDescent="0.25">
      <c r="A774" s="439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 x14ac:dyDescent="0.25">
      <c r="A775" s="439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 x14ac:dyDescent="0.25">
      <c r="A776" s="439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 x14ac:dyDescent="0.25">
      <c r="A777" s="439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 x14ac:dyDescent="0.25">
      <c r="A778" s="439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 x14ac:dyDescent="0.25">
      <c r="A779" s="439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 x14ac:dyDescent="0.25">
      <c r="A780" s="439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 x14ac:dyDescent="0.25">
      <c r="A781" s="439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 x14ac:dyDescent="0.25">
      <c r="A782" s="439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 x14ac:dyDescent="0.25">
      <c r="A783" s="439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 x14ac:dyDescent="0.25">
      <c r="A784" s="439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 x14ac:dyDescent="0.25">
      <c r="A785" s="439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 x14ac:dyDescent="0.25">
      <c r="A786" s="439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 x14ac:dyDescent="0.25">
      <c r="A787" s="439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 x14ac:dyDescent="0.25">
      <c r="A788" s="439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 x14ac:dyDescent="0.25">
      <c r="A789" s="439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 x14ac:dyDescent="0.25">
      <c r="A790" s="439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 x14ac:dyDescent="0.25">
      <c r="A791" s="439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 x14ac:dyDescent="0.25">
      <c r="A792" s="439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 x14ac:dyDescent="0.25">
      <c r="A793" s="439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 x14ac:dyDescent="0.25">
      <c r="A794" s="439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 x14ac:dyDescent="0.25">
      <c r="A795" s="439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 x14ac:dyDescent="0.25">
      <c r="A796" s="439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 x14ac:dyDescent="0.25">
      <c r="A797" s="439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 x14ac:dyDescent="0.25">
      <c r="A798" s="439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 x14ac:dyDescent="0.25">
      <c r="A799" s="439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 x14ac:dyDescent="0.25">
      <c r="A800" s="439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 x14ac:dyDescent="0.25">
      <c r="A801" s="439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 x14ac:dyDescent="0.25">
      <c r="A802" s="439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 x14ac:dyDescent="0.25">
      <c r="A803" s="439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 x14ac:dyDescent="0.25">
      <c r="A804" s="439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 x14ac:dyDescent="0.25">
      <c r="A805" s="439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 x14ac:dyDescent="0.25">
      <c r="A806" s="439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 x14ac:dyDescent="0.25">
      <c r="A807" s="439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 x14ac:dyDescent="0.25">
      <c r="A808" s="439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 x14ac:dyDescent="0.25">
      <c r="A809" s="439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 x14ac:dyDescent="0.25">
      <c r="A810" s="439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 x14ac:dyDescent="0.25">
      <c r="A811" s="439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 x14ac:dyDescent="0.25">
      <c r="A812" s="439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 x14ac:dyDescent="0.25">
      <c r="A813" s="439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 x14ac:dyDescent="0.25">
      <c r="A814" s="439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 x14ac:dyDescent="0.25">
      <c r="A815" s="439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 x14ac:dyDescent="0.25">
      <c r="A816" s="439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 x14ac:dyDescent="0.25">
      <c r="A817" s="439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 x14ac:dyDescent="0.25">
      <c r="A818" s="439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 x14ac:dyDescent="0.25">
      <c r="A819" s="439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 x14ac:dyDescent="0.25">
      <c r="A820" s="439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 x14ac:dyDescent="0.25">
      <c r="A821" s="439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 x14ac:dyDescent="0.25">
      <c r="A822" s="439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 x14ac:dyDescent="0.25">
      <c r="A823" s="439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 x14ac:dyDescent="0.25">
      <c r="A824" s="439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 x14ac:dyDescent="0.25">
      <c r="A825" s="439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 x14ac:dyDescent="0.25">
      <c r="A826" s="439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 x14ac:dyDescent="0.25">
      <c r="A827" s="439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 x14ac:dyDescent="0.25">
      <c r="A828" s="439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 x14ac:dyDescent="0.25">
      <c r="A829" s="439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 x14ac:dyDescent="0.25">
      <c r="A830" s="439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 x14ac:dyDescent="0.25">
      <c r="A831" s="439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 x14ac:dyDescent="0.25">
      <c r="A832" s="439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 x14ac:dyDescent="0.25">
      <c r="A833" s="439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 x14ac:dyDescent="0.25">
      <c r="A834" s="439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 x14ac:dyDescent="0.25">
      <c r="A835" s="439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 x14ac:dyDescent="0.25">
      <c r="A836" s="439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 x14ac:dyDescent="0.25">
      <c r="A837" s="439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 x14ac:dyDescent="0.25">
      <c r="A838" s="439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 x14ac:dyDescent="0.25">
      <c r="A839" s="439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 x14ac:dyDescent="0.25">
      <c r="A840" s="439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 x14ac:dyDescent="0.25">
      <c r="A841" s="439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 x14ac:dyDescent="0.25">
      <c r="A842" s="439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 x14ac:dyDescent="0.25">
      <c r="A843" s="439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 x14ac:dyDescent="0.25">
      <c r="A844" s="439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 x14ac:dyDescent="0.25">
      <c r="A845" s="439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 x14ac:dyDescent="0.25">
      <c r="A846" s="439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 x14ac:dyDescent="0.25">
      <c r="A847" s="439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 x14ac:dyDescent="0.25">
      <c r="A848" s="439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 x14ac:dyDescent="0.25">
      <c r="A849" s="439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 x14ac:dyDescent="0.25">
      <c r="A850" s="439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 x14ac:dyDescent="0.25">
      <c r="A851" s="439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 x14ac:dyDescent="0.25">
      <c r="A852" s="439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 x14ac:dyDescent="0.25">
      <c r="A853" s="439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 x14ac:dyDescent="0.25">
      <c r="A854" s="439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 x14ac:dyDescent="0.25">
      <c r="A855" s="439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 x14ac:dyDescent="0.25">
      <c r="A856" s="439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 x14ac:dyDescent="0.25">
      <c r="A857" s="439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 x14ac:dyDescent="0.25">
      <c r="A858" s="439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 x14ac:dyDescent="0.25">
      <c r="A859" s="439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 x14ac:dyDescent="0.25">
      <c r="A860" s="439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 x14ac:dyDescent="0.25">
      <c r="A861" s="439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 x14ac:dyDescent="0.25">
      <c r="A862" s="439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 x14ac:dyDescent="0.25">
      <c r="A863" s="439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 x14ac:dyDescent="0.25">
      <c r="A864" s="439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 x14ac:dyDescent="0.25">
      <c r="A865" s="439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 x14ac:dyDescent="0.25">
      <c r="A866" s="439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 x14ac:dyDescent="0.25">
      <c r="A867" s="439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 x14ac:dyDescent="0.25">
      <c r="A868" s="439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 x14ac:dyDescent="0.25">
      <c r="A869" s="439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 x14ac:dyDescent="0.25">
      <c r="A870" s="439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 x14ac:dyDescent="0.25">
      <c r="A871" s="439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 x14ac:dyDescent="0.25">
      <c r="A872" s="439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 x14ac:dyDescent="0.25">
      <c r="A873" s="439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 x14ac:dyDescent="0.25">
      <c r="A874" s="439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 x14ac:dyDescent="0.25">
      <c r="A875" s="439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 x14ac:dyDescent="0.25">
      <c r="A876" s="439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 x14ac:dyDescent="0.25">
      <c r="A877" s="439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 x14ac:dyDescent="0.25">
      <c r="A878" s="439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 x14ac:dyDescent="0.25">
      <c r="A879" s="439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 x14ac:dyDescent="0.25">
      <c r="A880" s="439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 x14ac:dyDescent="0.25">
      <c r="A881" s="439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 x14ac:dyDescent="0.25">
      <c r="A882" s="439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 x14ac:dyDescent="0.25">
      <c r="A883" s="439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 x14ac:dyDescent="0.25">
      <c r="A884" s="439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 x14ac:dyDescent="0.25">
      <c r="A885" s="439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 x14ac:dyDescent="0.25">
      <c r="A886" s="439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 x14ac:dyDescent="0.25">
      <c r="A887" s="439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 x14ac:dyDescent="0.25">
      <c r="A888" s="439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 x14ac:dyDescent="0.25">
      <c r="A889" s="439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 x14ac:dyDescent="0.25">
      <c r="A890" s="439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 x14ac:dyDescent="0.25">
      <c r="A891" s="439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 x14ac:dyDescent="0.25">
      <c r="A892" s="439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 x14ac:dyDescent="0.25">
      <c r="A893" s="439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 x14ac:dyDescent="0.25">
      <c r="A894" s="439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 x14ac:dyDescent="0.25">
      <c r="A895" s="439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 x14ac:dyDescent="0.25">
      <c r="A896" s="439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 x14ac:dyDescent="0.25">
      <c r="A897" s="439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 x14ac:dyDescent="0.25">
      <c r="A898" s="439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 x14ac:dyDescent="0.25">
      <c r="A899" s="439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 x14ac:dyDescent="0.25">
      <c r="A900" s="439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 x14ac:dyDescent="0.25">
      <c r="A901" s="439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 x14ac:dyDescent="0.25">
      <c r="A902" s="439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 x14ac:dyDescent="0.25">
      <c r="A903" s="439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 x14ac:dyDescent="0.25">
      <c r="A904" s="439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 x14ac:dyDescent="0.25">
      <c r="A905" s="439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 x14ac:dyDescent="0.25">
      <c r="A906" s="439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 x14ac:dyDescent="0.25">
      <c r="A907" s="439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 x14ac:dyDescent="0.25">
      <c r="A908" s="439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 x14ac:dyDescent="0.25">
      <c r="A909" s="439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 x14ac:dyDescent="0.25">
      <c r="A910" s="439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 x14ac:dyDescent="0.25">
      <c r="A911" s="439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 x14ac:dyDescent="0.25">
      <c r="A912" s="439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 x14ac:dyDescent="0.25">
      <c r="A913" s="439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 x14ac:dyDescent="0.25">
      <c r="A914" s="439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 x14ac:dyDescent="0.25">
      <c r="A915" s="439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 x14ac:dyDescent="0.25">
      <c r="A916" s="439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 x14ac:dyDescent="0.25">
      <c r="A917" s="439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 x14ac:dyDescent="0.25">
      <c r="A918" s="439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 x14ac:dyDescent="0.25">
      <c r="A919" s="439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 x14ac:dyDescent="0.25">
      <c r="A920" s="439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 x14ac:dyDescent="0.25">
      <c r="A921" s="439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 x14ac:dyDescent="0.25">
      <c r="A922" s="439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 x14ac:dyDescent="0.25">
      <c r="A923" s="439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 x14ac:dyDescent="0.25">
      <c r="A924" s="439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 x14ac:dyDescent="0.25">
      <c r="A925" s="439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 x14ac:dyDescent="0.25">
      <c r="A926" s="439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 x14ac:dyDescent="0.25">
      <c r="A927" s="439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 x14ac:dyDescent="0.25">
      <c r="A928" s="439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 x14ac:dyDescent="0.25">
      <c r="A929" s="439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 x14ac:dyDescent="0.25">
      <c r="A930" s="439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 x14ac:dyDescent="0.25">
      <c r="A931" s="439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 x14ac:dyDescent="0.25">
      <c r="A932" s="439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 x14ac:dyDescent="0.25">
      <c r="A933" s="439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 x14ac:dyDescent="0.25">
      <c r="A934" s="439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 x14ac:dyDescent="0.25">
      <c r="A935" s="439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 x14ac:dyDescent="0.25">
      <c r="A936" s="439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 x14ac:dyDescent="0.25">
      <c r="A937" s="439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 x14ac:dyDescent="0.25">
      <c r="A938" s="439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 x14ac:dyDescent="0.25">
      <c r="A939" s="439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 x14ac:dyDescent="0.25">
      <c r="A940" s="439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 x14ac:dyDescent="0.25">
      <c r="A941" s="439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 x14ac:dyDescent="0.25">
      <c r="A942" s="439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 x14ac:dyDescent="0.25">
      <c r="A943" s="439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 x14ac:dyDescent="0.25">
      <c r="A944" s="439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 x14ac:dyDescent="0.25">
      <c r="A945" s="439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 x14ac:dyDescent="0.25">
      <c r="A946" s="439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 x14ac:dyDescent="0.25">
      <c r="A947" s="439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 x14ac:dyDescent="0.25">
      <c r="A948" s="439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 x14ac:dyDescent="0.25">
      <c r="A949" s="439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 x14ac:dyDescent="0.25">
      <c r="A950" s="439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 x14ac:dyDescent="0.25">
      <c r="A951" s="439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 x14ac:dyDescent="0.25">
      <c r="A952" s="439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 x14ac:dyDescent="0.25">
      <c r="A953" s="439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 x14ac:dyDescent="0.25">
      <c r="A954" s="439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 x14ac:dyDescent="0.25">
      <c r="A955" s="439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 x14ac:dyDescent="0.25">
      <c r="A956" s="439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 x14ac:dyDescent="0.25">
      <c r="A957" s="439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 x14ac:dyDescent="0.25">
      <c r="A958" s="439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 x14ac:dyDescent="0.25">
      <c r="A959" s="439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 x14ac:dyDescent="0.25">
      <c r="A960" s="439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 x14ac:dyDescent="0.25">
      <c r="A961" s="439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 x14ac:dyDescent="0.25">
      <c r="A962" s="439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 x14ac:dyDescent="0.25">
      <c r="A963" s="439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 x14ac:dyDescent="0.25">
      <c r="A964" s="439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 x14ac:dyDescent="0.25">
      <c r="A965" s="439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 x14ac:dyDescent="0.25">
      <c r="A966" s="439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 x14ac:dyDescent="0.25">
      <c r="A967" s="439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 x14ac:dyDescent="0.25">
      <c r="A968" s="439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 x14ac:dyDescent="0.25">
      <c r="A969" s="439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 x14ac:dyDescent="0.25">
      <c r="A970" s="439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 x14ac:dyDescent="0.25">
      <c r="A971" s="439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 x14ac:dyDescent="0.25">
      <c r="A972" s="439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 x14ac:dyDescent="0.25">
      <c r="A973" s="439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 x14ac:dyDescent="0.25">
      <c r="A974" s="439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 x14ac:dyDescent="0.25">
      <c r="A975" s="439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 x14ac:dyDescent="0.25">
      <c r="A976" s="439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 x14ac:dyDescent="0.25">
      <c r="A977" s="439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 x14ac:dyDescent="0.25">
      <c r="A978" s="439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 x14ac:dyDescent="0.25">
      <c r="A979" s="439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 x14ac:dyDescent="0.25">
      <c r="A980" s="439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 x14ac:dyDescent="0.25">
      <c r="A981" s="439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 x14ac:dyDescent="0.25">
      <c r="A982" s="439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 x14ac:dyDescent="0.25">
      <c r="A983" s="439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 x14ac:dyDescent="0.25">
      <c r="A984" s="439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 x14ac:dyDescent="0.25">
      <c r="A985" s="439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 x14ac:dyDescent="0.25">
      <c r="A986" s="439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 x14ac:dyDescent="0.25">
      <c r="A987" s="439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 x14ac:dyDescent="0.25">
      <c r="A988" s="439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 x14ac:dyDescent="0.25">
      <c r="A989" s="439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 x14ac:dyDescent="0.25">
      <c r="A990" s="439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 x14ac:dyDescent="0.25">
      <c r="A991" s="439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 x14ac:dyDescent="0.25">
      <c r="A992" s="439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 x14ac:dyDescent="0.25">
      <c r="A993" s="439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 x14ac:dyDescent="0.25">
      <c r="A994" s="439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 x14ac:dyDescent="0.25">
      <c r="A995" s="439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 x14ac:dyDescent="0.25">
      <c r="A996" s="439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 x14ac:dyDescent="0.25">
      <c r="A997" s="439" t="str">
        <f t="shared" si="15"/>
        <v>0_0</v>
      </c>
      <c r="N997" s="978" t="e">
        <f>VLOOKUP(A997, 'P&amp;L'!A:B,1,FALSE)</f>
        <v>#N/A</v>
      </c>
      <c r="O997" t="e">
        <f>VLOOKUP(A997, KeyData!A:C,1,FALSE)</f>
        <v>#N/A</v>
      </c>
    </row>
    <row r="998" spans="1:15" x14ac:dyDescent="0.25">
      <c r="A998" s="439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 x14ac:dyDescent="0.25">
      <c r="A999" s="439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 x14ac:dyDescent="0.25">
      <c r="A1000" s="439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 x14ac:dyDescent="0.25">
      <c r="A1001" s="439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 x14ac:dyDescent="0.25">
      <c r="A1002" s="439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 x14ac:dyDescent="0.25">
      <c r="A1003" s="439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 x14ac:dyDescent="0.25">
      <c r="A1004" s="439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 x14ac:dyDescent="0.25">
      <c r="A1005" s="439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 x14ac:dyDescent="0.25">
      <c r="A1006" s="439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 x14ac:dyDescent="0.25">
      <c r="A1007" s="439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 x14ac:dyDescent="0.25">
      <c r="A1008" s="439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 x14ac:dyDescent="0.25">
      <c r="A1009" s="439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 x14ac:dyDescent="0.25">
      <c r="A1010" s="439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 x14ac:dyDescent="0.25">
      <c r="A1011" s="439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 x14ac:dyDescent="0.25">
      <c r="A1012" s="439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 x14ac:dyDescent="0.25">
      <c r="A1013" s="439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 x14ac:dyDescent="0.25">
      <c r="A1014" s="439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 x14ac:dyDescent="0.25">
      <c r="A1015" s="439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 x14ac:dyDescent="0.25">
      <c r="A1016" s="439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 x14ac:dyDescent="0.25">
      <c r="A1017" s="439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 x14ac:dyDescent="0.25">
      <c r="A1018" s="439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 x14ac:dyDescent="0.25">
      <c r="A1019" s="439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 x14ac:dyDescent="0.25">
      <c r="A1020" s="439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 x14ac:dyDescent="0.25">
      <c r="A1021" s="439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 x14ac:dyDescent="0.25">
      <c r="A1022" s="439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 x14ac:dyDescent="0.25">
      <c r="A1023" s="439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 x14ac:dyDescent="0.25">
      <c r="A1024" s="439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 x14ac:dyDescent="0.25">
      <c r="A1025" s="439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 x14ac:dyDescent="0.25">
      <c r="A1026" s="439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 x14ac:dyDescent="0.25">
      <c r="A1027" s="439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 x14ac:dyDescent="0.25">
      <c r="A1028" s="439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 x14ac:dyDescent="0.25">
      <c r="A1029" s="439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 x14ac:dyDescent="0.25">
      <c r="A1030" s="439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 x14ac:dyDescent="0.25">
      <c r="A1031" s="439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 x14ac:dyDescent="0.25">
      <c r="A1032" s="439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 x14ac:dyDescent="0.25">
      <c r="A1033" s="439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 x14ac:dyDescent="0.25">
      <c r="A1034" s="439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 x14ac:dyDescent="0.25">
      <c r="A1035" s="439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 x14ac:dyDescent="0.25">
      <c r="A1036" s="439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 x14ac:dyDescent="0.25">
      <c r="A1037" s="439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 x14ac:dyDescent="0.25">
      <c r="A1038" s="439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 x14ac:dyDescent="0.25">
      <c r="A1039" s="439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 x14ac:dyDescent="0.25">
      <c r="A1040" s="439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 x14ac:dyDescent="0.25">
      <c r="A1041" s="439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 x14ac:dyDescent="0.25">
      <c r="A1042" s="439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 x14ac:dyDescent="0.25">
      <c r="A1043" s="439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 x14ac:dyDescent="0.25">
      <c r="A1044" s="439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 x14ac:dyDescent="0.25">
      <c r="A1045" s="439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 x14ac:dyDescent="0.25">
      <c r="A1046" s="439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 x14ac:dyDescent="0.25">
      <c r="A1047" s="439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 x14ac:dyDescent="0.25">
      <c r="A1048" s="439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 x14ac:dyDescent="0.25">
      <c r="A1049" s="439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 x14ac:dyDescent="0.25">
      <c r="A1050" s="439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 x14ac:dyDescent="0.25">
      <c r="A1051" s="439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 x14ac:dyDescent="0.25">
      <c r="A1052" s="439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 x14ac:dyDescent="0.25">
      <c r="A1053" s="439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 x14ac:dyDescent="0.25">
      <c r="A1054" s="439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 x14ac:dyDescent="0.25">
      <c r="A1055" s="439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 x14ac:dyDescent="0.25">
      <c r="A1056" s="439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 x14ac:dyDescent="0.25">
      <c r="A1057" s="439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 x14ac:dyDescent="0.25">
      <c r="A1058" s="439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 x14ac:dyDescent="0.25">
      <c r="A1059" s="439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 x14ac:dyDescent="0.25">
      <c r="A1060" s="439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 x14ac:dyDescent="0.25">
      <c r="A1061" s="439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 x14ac:dyDescent="0.25">
      <c r="A1062" s="439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 x14ac:dyDescent="0.25">
      <c r="A1063" s="439" t="str">
        <f t="shared" si="16"/>
        <v>0_0</v>
      </c>
      <c r="N1063" s="602" t="e">
        <f>VLOOKUP(A1063, 'P&amp;L'!A:B,1,FALSE)</f>
        <v>#N/A</v>
      </c>
      <c r="O1063" t="e">
        <f>VLOOKUP(A1063, KeyData!A:C,1,FALSE)</f>
        <v>#N/A</v>
      </c>
    </row>
    <row r="1064" spans="1:15" x14ac:dyDescent="0.25">
      <c r="A1064" s="439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 x14ac:dyDescent="0.25">
      <c r="A1065" s="439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 x14ac:dyDescent="0.25">
      <c r="A1066" s="439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 x14ac:dyDescent="0.25">
      <c r="A1067" s="439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 x14ac:dyDescent="0.25">
      <c r="A1068" s="439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 x14ac:dyDescent="0.25">
      <c r="A1069" s="439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 x14ac:dyDescent="0.25">
      <c r="A1070" s="439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 x14ac:dyDescent="0.25">
      <c r="A1071" s="439" t="str">
        <f t="shared" si="16"/>
        <v>0_0</v>
      </c>
      <c r="N1071" s="602" t="e">
        <f>VLOOKUP(A1071, 'P&amp;L'!A:B,1,FALSE)</f>
        <v>#N/A</v>
      </c>
      <c r="O1071" t="e">
        <f>VLOOKUP(A1071, KeyData!A:C,1,FALSE)</f>
        <v>#N/A</v>
      </c>
    </row>
    <row r="1072" spans="1:15" x14ac:dyDescent="0.25">
      <c r="A1072" s="439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 x14ac:dyDescent="0.25">
      <c r="A1073" s="439" t="str">
        <f t="shared" si="16"/>
        <v>0_0</v>
      </c>
      <c r="N1073" s="602" t="e">
        <f>VLOOKUP(A1073, 'P&amp;L'!A:B,1,FALSE)</f>
        <v>#N/A</v>
      </c>
      <c r="O1073" t="e">
        <f>VLOOKUP(A1073, KeyData!A:C,1,FALSE)</f>
        <v>#N/A</v>
      </c>
    </row>
    <row r="1074" spans="1:15" x14ac:dyDescent="0.25">
      <c r="A1074" s="439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 x14ac:dyDescent="0.25">
      <c r="A1075" s="439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 x14ac:dyDescent="0.25">
      <c r="A1076" s="439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 x14ac:dyDescent="0.25">
      <c r="A1077" s="439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 x14ac:dyDescent="0.25">
      <c r="A1078" s="439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 x14ac:dyDescent="0.25">
      <c r="A1079" s="439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 x14ac:dyDescent="0.25">
      <c r="A1080" s="439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 x14ac:dyDescent="0.25">
      <c r="A1081" s="439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 x14ac:dyDescent="0.25">
      <c r="A1082" s="439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 x14ac:dyDescent="0.25">
      <c r="A1083" s="439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 x14ac:dyDescent="0.25">
      <c r="A1084" s="439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 x14ac:dyDescent="0.25">
      <c r="A1085" s="439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 x14ac:dyDescent="0.25">
      <c r="A1086" s="439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 x14ac:dyDescent="0.25">
      <c r="A1087" s="439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 x14ac:dyDescent="0.25">
      <c r="A1088" s="439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 x14ac:dyDescent="0.25">
      <c r="A1089" s="439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 x14ac:dyDescent="0.25">
      <c r="A1090" s="439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 x14ac:dyDescent="0.25">
      <c r="A1091" s="439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 x14ac:dyDescent="0.25">
      <c r="A1092" s="439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 x14ac:dyDescent="0.25">
      <c r="A1093" s="439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 x14ac:dyDescent="0.25">
      <c r="A1094" s="439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 x14ac:dyDescent="0.25">
      <c r="A1095" s="439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 x14ac:dyDescent="0.25">
      <c r="A1096" s="439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 x14ac:dyDescent="0.25">
      <c r="A1097" s="439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 x14ac:dyDescent="0.25">
      <c r="A1098" s="439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 x14ac:dyDescent="0.25">
      <c r="A1099" s="439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 x14ac:dyDescent="0.25">
      <c r="A1100" s="439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 x14ac:dyDescent="0.25">
      <c r="A1101" s="439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 x14ac:dyDescent="0.25">
      <c r="A1102" s="439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 x14ac:dyDescent="0.25">
      <c r="A1103" s="439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 x14ac:dyDescent="0.25">
      <c r="A1104" s="439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 x14ac:dyDescent="0.25">
      <c r="A1105" s="439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 x14ac:dyDescent="0.25">
      <c r="A1106" s="439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 x14ac:dyDescent="0.25">
      <c r="A1107" s="439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 x14ac:dyDescent="0.25">
      <c r="A1108" s="439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 x14ac:dyDescent="0.25">
      <c r="A1109" s="439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 x14ac:dyDescent="0.25">
      <c r="A1110" s="439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 x14ac:dyDescent="0.25">
      <c r="A1111" s="439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 x14ac:dyDescent="0.25">
      <c r="A1112" s="439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 x14ac:dyDescent="0.25">
      <c r="A1113" s="439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 x14ac:dyDescent="0.25">
      <c r="A1114" s="439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 x14ac:dyDescent="0.25">
      <c r="A1115" s="439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 x14ac:dyDescent="0.25">
      <c r="A1116" s="439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 x14ac:dyDescent="0.25">
      <c r="A1117" s="439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 x14ac:dyDescent="0.25">
      <c r="A1118" s="439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 x14ac:dyDescent="0.25">
      <c r="A1119" s="439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 x14ac:dyDescent="0.25">
      <c r="A1120" s="439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 x14ac:dyDescent="0.25">
      <c r="A1121" s="439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 x14ac:dyDescent="0.25">
      <c r="A1122" s="439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 x14ac:dyDescent="0.25">
      <c r="A1123" s="439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 x14ac:dyDescent="0.25">
      <c r="A1124" s="439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 x14ac:dyDescent="0.25">
      <c r="A1125" s="439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 x14ac:dyDescent="0.25">
      <c r="A1126" s="439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 x14ac:dyDescent="0.25">
      <c r="A1127" s="439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 x14ac:dyDescent="0.25">
      <c r="A1128" s="439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 x14ac:dyDescent="0.25">
      <c r="A1129" s="439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 x14ac:dyDescent="0.25">
      <c r="A1130" s="439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 x14ac:dyDescent="0.25">
      <c r="A1131" s="439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 x14ac:dyDescent="0.25">
      <c r="A1132" s="439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 x14ac:dyDescent="0.25">
      <c r="A1133" s="439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 x14ac:dyDescent="0.25">
      <c r="A1134" s="439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 x14ac:dyDescent="0.25">
      <c r="A1135" s="439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 x14ac:dyDescent="0.25">
      <c r="A1136" s="439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 x14ac:dyDescent="0.25">
      <c r="A1137" s="439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 x14ac:dyDescent="0.25">
      <c r="A1138" s="439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 x14ac:dyDescent="0.25">
      <c r="A1139" s="439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 x14ac:dyDescent="0.25">
      <c r="A1140" s="439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 x14ac:dyDescent="0.25">
      <c r="A1141" s="439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 x14ac:dyDescent="0.25">
      <c r="A1142" s="439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 x14ac:dyDescent="0.25">
      <c r="A1143" s="439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 x14ac:dyDescent="0.25">
      <c r="A1144" s="439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 x14ac:dyDescent="0.25">
      <c r="A1145" s="439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 x14ac:dyDescent="0.25">
      <c r="A1146" s="439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 x14ac:dyDescent="0.25">
      <c r="A1147" s="439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 x14ac:dyDescent="0.25">
      <c r="A1148" s="439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 x14ac:dyDescent="0.25">
      <c r="A1149" s="439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 x14ac:dyDescent="0.25">
      <c r="A1150" s="439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 x14ac:dyDescent="0.25">
      <c r="A1151" s="439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 x14ac:dyDescent="0.25">
      <c r="A1152" s="439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 x14ac:dyDescent="0.25">
      <c r="A1153" s="439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 x14ac:dyDescent="0.25">
      <c r="A1154" s="439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 x14ac:dyDescent="0.25">
      <c r="A1155" s="439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 x14ac:dyDescent="0.25">
      <c r="A1156" s="439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 x14ac:dyDescent="0.25">
      <c r="A1157" s="439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 x14ac:dyDescent="0.25">
      <c r="A1158" s="439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 x14ac:dyDescent="0.25">
      <c r="A1159" s="439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 x14ac:dyDescent="0.25">
      <c r="A1160" s="439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 x14ac:dyDescent="0.25">
      <c r="A1161" s="439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 x14ac:dyDescent="0.25">
      <c r="A1162" s="439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 x14ac:dyDescent="0.25">
      <c r="A1163" s="439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 x14ac:dyDescent="0.25">
      <c r="A1164" s="439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 x14ac:dyDescent="0.25">
      <c r="A1165" s="439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 x14ac:dyDescent="0.25">
      <c r="A1166" s="439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 x14ac:dyDescent="0.25">
      <c r="A1167" s="439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 x14ac:dyDescent="0.25">
      <c r="A1168" s="439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 x14ac:dyDescent="0.25">
      <c r="A1169" s="439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 x14ac:dyDescent="0.25">
      <c r="A1170" s="439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 x14ac:dyDescent="0.25">
      <c r="A1171" s="439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 x14ac:dyDescent="0.25">
      <c r="A1172" s="439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 x14ac:dyDescent="0.25">
      <c r="A1173" s="439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 x14ac:dyDescent="0.25">
      <c r="A1174" s="439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 x14ac:dyDescent="0.25">
      <c r="A1175" s="439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 x14ac:dyDescent="0.25">
      <c r="A1176" s="439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 x14ac:dyDescent="0.25">
      <c r="A1177" s="439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 x14ac:dyDescent="0.25">
      <c r="A1178" s="439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 x14ac:dyDescent="0.25">
      <c r="A1179" s="439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 x14ac:dyDescent="0.25">
      <c r="A1180" s="439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 x14ac:dyDescent="0.25">
      <c r="A1181" s="439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 x14ac:dyDescent="0.25">
      <c r="A1182" s="439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 x14ac:dyDescent="0.25">
      <c r="A1183" s="439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 x14ac:dyDescent="0.25">
      <c r="A1184" s="439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 x14ac:dyDescent="0.25">
      <c r="A1185" s="439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 x14ac:dyDescent="0.25">
      <c r="A1186" s="439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 x14ac:dyDescent="0.25">
      <c r="A1187" s="439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 x14ac:dyDescent="0.25">
      <c r="A1188" s="439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 x14ac:dyDescent="0.25">
      <c r="A1189" s="439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 x14ac:dyDescent="0.25">
      <c r="A1190" s="439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 x14ac:dyDescent="0.25">
      <c r="A1191" s="439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 x14ac:dyDescent="0.25">
      <c r="A1192" s="439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 x14ac:dyDescent="0.25">
      <c r="A1193" s="439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 x14ac:dyDescent="0.25">
      <c r="A1194" s="439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 x14ac:dyDescent="0.25">
      <c r="A1195" s="439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 x14ac:dyDescent="0.25">
      <c r="A1196" s="439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 x14ac:dyDescent="0.25">
      <c r="A1197" s="439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 x14ac:dyDescent="0.25">
      <c r="A1198" s="439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 x14ac:dyDescent="0.25">
      <c r="A1199" s="439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 x14ac:dyDescent="0.25">
      <c r="A1200" s="439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 x14ac:dyDescent="0.25">
      <c r="A1201" s="439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 x14ac:dyDescent="0.25">
      <c r="A1202" s="439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 x14ac:dyDescent="0.25">
      <c r="A1203" s="439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 x14ac:dyDescent="0.25">
      <c r="A1204" s="439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 x14ac:dyDescent="0.25">
      <c r="A1205" s="439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 x14ac:dyDescent="0.25">
      <c r="A1206" s="439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 x14ac:dyDescent="0.25">
      <c r="A1207" s="439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 x14ac:dyDescent="0.25">
      <c r="A1208" s="439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 x14ac:dyDescent="0.25">
      <c r="A1209" s="439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 x14ac:dyDescent="0.25">
      <c r="A1210" s="439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 x14ac:dyDescent="0.25">
      <c r="A1211" s="439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 x14ac:dyDescent="0.25">
      <c r="A1212" s="439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 x14ac:dyDescent="0.25">
      <c r="A1213" s="439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 x14ac:dyDescent="0.25">
      <c r="A1214" s="439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 x14ac:dyDescent="0.25">
      <c r="A1215" s="439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 x14ac:dyDescent="0.25">
      <c r="A1216" s="439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5" x14ac:dyDescent="0.25"/>
  <cols>
    <col min="1" max="1" width="16.140625" customWidth="1"/>
    <col min="2" max="2" width="25" bestFit="1" customWidth="1"/>
    <col min="3" max="3" width="20.42578125" bestFit="1" customWidth="1"/>
    <col min="4" max="4" width="10.42578125" bestFit="1" customWidth="1"/>
    <col min="5" max="5" width="19.5703125" bestFit="1" customWidth="1"/>
    <col min="6" max="6" width="10.140625" bestFit="1" customWidth="1"/>
    <col min="7" max="17" width="11" bestFit="1" customWidth="1"/>
    <col min="18" max="18" width="10.140625" bestFit="1" customWidth="1"/>
    <col min="19" max="19" width="7.28515625" bestFit="1" customWidth="1"/>
    <col min="20" max="20" width="5.28515625" bestFit="1" customWidth="1"/>
    <col min="21" max="21" width="4.28515625" bestFit="1" customWidth="1"/>
    <col min="22" max="22" width="3.7109375" bestFit="1" customWidth="1"/>
    <col min="23" max="23" width="4.28515625" bestFit="1" customWidth="1"/>
    <col min="24" max="24" width="3.5703125" bestFit="1" customWidth="1"/>
    <col min="25" max="25" width="6" bestFit="1" customWidth="1"/>
    <col min="26" max="26" width="8.7109375" bestFit="1" customWidth="1"/>
    <col min="27" max="27" width="6.5703125" bestFit="1" customWidth="1"/>
    <col min="28" max="29" width="8.28515625" bestFit="1" customWidth="1"/>
  </cols>
  <sheetData>
    <row r="1" spans="1:22" x14ac:dyDescent="0.25">
      <c r="B1" s="1004" t="s">
        <v>740</v>
      </c>
      <c r="C1" s="1004" t="s">
        <v>740</v>
      </c>
      <c r="D1" s="1004" t="s">
        <v>740</v>
      </c>
      <c r="E1" s="1004" t="s">
        <v>740</v>
      </c>
      <c r="F1" s="794" t="s">
        <v>1111</v>
      </c>
      <c r="G1" s="794" t="s">
        <v>1111</v>
      </c>
      <c r="H1" s="794" t="s">
        <v>1111</v>
      </c>
      <c r="I1" s="794" t="s">
        <v>1111</v>
      </c>
      <c r="J1" s="794" t="s">
        <v>1111</v>
      </c>
      <c r="K1" s="794" t="s">
        <v>1111</v>
      </c>
      <c r="L1" s="794" t="s">
        <v>1111</v>
      </c>
      <c r="M1" s="794" t="s">
        <v>1111</v>
      </c>
      <c r="N1" s="794" t="s">
        <v>1111</v>
      </c>
      <c r="O1" s="794" t="s">
        <v>1111</v>
      </c>
      <c r="P1" s="794" t="s">
        <v>1111</v>
      </c>
      <c r="Q1" s="794" t="s">
        <v>1111</v>
      </c>
      <c r="R1" s="794" t="s">
        <v>1111</v>
      </c>
      <c r="V1" t="s">
        <v>1112</v>
      </c>
    </row>
    <row r="2" spans="1:22" x14ac:dyDescent="0.25">
      <c r="A2" s="439"/>
      <c r="B2" s="1004" t="s">
        <v>1103</v>
      </c>
      <c r="C2" s="1003"/>
      <c r="D2" s="1004" t="s">
        <v>1104</v>
      </c>
      <c r="E2" s="1004" t="s">
        <v>1375</v>
      </c>
      <c r="F2" s="794" t="s">
        <v>1376</v>
      </c>
      <c r="G2" s="794" t="s">
        <v>1377</v>
      </c>
      <c r="H2" s="794" t="s">
        <v>1378</v>
      </c>
      <c r="I2" s="794" t="s">
        <v>1379</v>
      </c>
      <c r="J2" s="794" t="s">
        <v>1380</v>
      </c>
      <c r="K2" s="794" t="s">
        <v>325</v>
      </c>
      <c r="L2" s="794" t="s">
        <v>171</v>
      </c>
      <c r="M2" s="794" t="s">
        <v>1381</v>
      </c>
      <c r="N2" s="794" t="s">
        <v>1382</v>
      </c>
      <c r="O2" s="794" t="s">
        <v>1383</v>
      </c>
      <c r="P2" s="794" t="s">
        <v>1384</v>
      </c>
      <c r="Q2" s="794" t="s">
        <v>1385</v>
      </c>
      <c r="R2" s="794" t="s">
        <v>1386</v>
      </c>
    </row>
    <row r="3" spans="1:22" x14ac:dyDescent="0.25">
      <c r="A3" s="439" t="str">
        <f xml:space="preserve"> IFERROR(+B3*1,B3)&amp;"_"&amp;IFERROR(+D3*1,D3)</f>
        <v>122100000_100</v>
      </c>
      <c r="B3" s="1005" t="s">
        <v>1113</v>
      </c>
      <c r="C3" s="795" t="s">
        <v>1114</v>
      </c>
      <c r="D3" s="794" t="s">
        <v>1115</v>
      </c>
      <c r="E3" s="794" t="s">
        <v>1116</v>
      </c>
      <c r="F3" s="979">
        <v>3876.192</v>
      </c>
      <c r="G3" s="979"/>
      <c r="H3" s="979"/>
      <c r="I3" s="979"/>
      <c r="J3" s="979"/>
      <c r="K3" s="979"/>
      <c r="L3" s="979"/>
      <c r="M3" s="979"/>
      <c r="N3" s="979"/>
      <c r="O3" s="979"/>
      <c r="P3" s="979"/>
      <c r="Q3" s="979"/>
      <c r="R3" s="982"/>
    </row>
    <row r="4" spans="1:22" x14ac:dyDescent="0.25">
      <c r="A4" s="439" t="str">
        <f t="shared" ref="A4:A67" si="0" xml:space="preserve"> IFERROR(+B4*1,B4)&amp;"_"&amp;IFERROR(+D4*1,D4)</f>
        <v>122100000_110</v>
      </c>
      <c r="B4" s="1005" t="s">
        <v>1113</v>
      </c>
      <c r="C4" s="795" t="s">
        <v>1114</v>
      </c>
      <c r="D4" s="794" t="s">
        <v>1117</v>
      </c>
      <c r="E4" s="794" t="s">
        <v>1118</v>
      </c>
      <c r="F4" s="979"/>
      <c r="G4" s="979">
        <v>131.721</v>
      </c>
      <c r="H4" s="979">
        <v>131.721</v>
      </c>
      <c r="I4" s="979">
        <v>131.721</v>
      </c>
      <c r="J4" s="979">
        <v>131.721</v>
      </c>
      <c r="K4" s="979">
        <v>131.721</v>
      </c>
      <c r="L4" s="979">
        <v>131.721</v>
      </c>
      <c r="M4" s="979">
        <v>131.721</v>
      </c>
      <c r="N4" s="979">
        <v>131.721</v>
      </c>
      <c r="O4" s="979">
        <v>131.721</v>
      </c>
      <c r="P4" s="979">
        <v>131.721</v>
      </c>
      <c r="Q4" s="979">
        <v>131.721</v>
      </c>
      <c r="R4" s="982">
        <v>131.726</v>
      </c>
    </row>
    <row r="5" spans="1:22" x14ac:dyDescent="0.25">
      <c r="A5" s="439" t="str">
        <f t="shared" si="0"/>
        <v>122100000_135</v>
      </c>
      <c r="B5" s="1005" t="s">
        <v>1113</v>
      </c>
      <c r="C5" s="795" t="s">
        <v>1114</v>
      </c>
      <c r="D5" s="794" t="s">
        <v>1140</v>
      </c>
      <c r="E5" s="794" t="s">
        <v>1141</v>
      </c>
      <c r="F5" s="979"/>
      <c r="G5" s="979">
        <v>3344000</v>
      </c>
      <c r="H5" s="979"/>
      <c r="I5" s="979"/>
      <c r="J5" s="979"/>
      <c r="K5" s="979"/>
      <c r="L5" s="979"/>
      <c r="M5" s="979"/>
      <c r="N5" s="979"/>
      <c r="O5" s="979"/>
      <c r="P5" s="979"/>
      <c r="Q5" s="979"/>
      <c r="R5" s="982"/>
    </row>
    <row r="6" spans="1:22" x14ac:dyDescent="0.25">
      <c r="A6" s="439" t="str">
        <f t="shared" si="0"/>
        <v>122100000_200</v>
      </c>
      <c r="B6" s="1005" t="s">
        <v>1113</v>
      </c>
      <c r="C6" s="795" t="s">
        <v>1114</v>
      </c>
      <c r="D6" s="794" t="s">
        <v>1123</v>
      </c>
      <c r="E6" s="794" t="s">
        <v>1116</v>
      </c>
      <c r="F6" s="979">
        <v>-3398.2860000000001</v>
      </c>
      <c r="G6" s="979"/>
      <c r="H6" s="979"/>
      <c r="I6" s="979"/>
      <c r="J6" s="979"/>
      <c r="K6" s="979"/>
      <c r="L6" s="979"/>
      <c r="M6" s="979"/>
      <c r="N6" s="979"/>
      <c r="O6" s="979"/>
      <c r="P6" s="979"/>
      <c r="Q6" s="979"/>
      <c r="R6" s="982"/>
    </row>
    <row r="7" spans="1:22" x14ac:dyDescent="0.25">
      <c r="A7" s="439" t="str">
        <f t="shared" si="0"/>
        <v>122100000_210</v>
      </c>
      <c r="B7" s="1005" t="s">
        <v>1113</v>
      </c>
      <c r="C7" s="795" t="s">
        <v>1114</v>
      </c>
      <c r="D7" s="794" t="s">
        <v>1124</v>
      </c>
      <c r="E7" s="794" t="s">
        <v>1125</v>
      </c>
      <c r="F7" s="979"/>
      <c r="G7" s="979">
        <v>-55814.635999999999</v>
      </c>
      <c r="H7" s="979">
        <v>-55814.635999999999</v>
      </c>
      <c r="I7" s="979">
        <v>-55814.635999999999</v>
      </c>
      <c r="J7" s="979">
        <v>-55814.635999999999</v>
      </c>
      <c r="K7" s="979">
        <v>-55814.635999999999</v>
      </c>
      <c r="L7" s="979">
        <v>-55814.635999999999</v>
      </c>
      <c r="M7" s="979">
        <v>-55814.635999999999</v>
      </c>
      <c r="N7" s="979">
        <v>-55840.981</v>
      </c>
      <c r="O7" s="979">
        <v>-55840.981</v>
      </c>
      <c r="P7" s="979">
        <v>-55840.981</v>
      </c>
      <c r="Q7" s="979">
        <v>-55840.981</v>
      </c>
      <c r="R7" s="982">
        <v>-55840.981</v>
      </c>
    </row>
    <row r="8" spans="1:22" x14ac:dyDescent="0.25">
      <c r="A8" s="439" t="str">
        <f t="shared" si="0"/>
        <v>122100000_235</v>
      </c>
      <c r="B8" s="1005" t="s">
        <v>1113</v>
      </c>
      <c r="C8" s="795" t="s">
        <v>1114</v>
      </c>
      <c r="D8" s="794" t="s">
        <v>1146</v>
      </c>
      <c r="E8" s="794" t="s">
        <v>1147</v>
      </c>
      <c r="F8" s="979"/>
      <c r="G8" s="979">
        <v>-2006400</v>
      </c>
      <c r="H8" s="979"/>
      <c r="I8" s="979"/>
      <c r="J8" s="979"/>
      <c r="K8" s="979"/>
      <c r="L8" s="979"/>
      <c r="M8" s="979"/>
      <c r="N8" s="979"/>
      <c r="O8" s="979"/>
      <c r="P8" s="979"/>
      <c r="Q8" s="979"/>
      <c r="R8" s="982"/>
    </row>
    <row r="9" spans="1:22" x14ac:dyDescent="0.25">
      <c r="A9" s="439" t="str">
        <f t="shared" si="0"/>
        <v>122100000_Result</v>
      </c>
      <c r="B9" s="1005" t="s">
        <v>1113</v>
      </c>
      <c r="C9" s="795" t="s">
        <v>1114</v>
      </c>
      <c r="D9" s="824" t="s">
        <v>1129</v>
      </c>
      <c r="E9" s="822"/>
      <c r="F9" s="980">
        <v>477.90600000000001</v>
      </c>
      <c r="G9" s="980">
        <v>1281917.085</v>
      </c>
      <c r="H9" s="980">
        <v>-55682.915000000001</v>
      </c>
      <c r="I9" s="980">
        <v>-55682.915000000001</v>
      </c>
      <c r="J9" s="980">
        <v>-55682.915000000001</v>
      </c>
      <c r="K9" s="980">
        <v>-55682.915000000001</v>
      </c>
      <c r="L9" s="980">
        <v>-55682.915000000001</v>
      </c>
      <c r="M9" s="980">
        <v>-55682.915000000001</v>
      </c>
      <c r="N9" s="980">
        <v>-55709.26</v>
      </c>
      <c r="O9" s="980">
        <v>-55709.26</v>
      </c>
      <c r="P9" s="980">
        <v>-55709.26</v>
      </c>
      <c r="Q9" s="980">
        <v>-55709.26</v>
      </c>
      <c r="R9" s="983">
        <v>-55709.254999999997</v>
      </c>
    </row>
    <row r="10" spans="1:22" x14ac:dyDescent="0.25">
      <c r="A10" s="439" t="str">
        <f t="shared" si="0"/>
        <v>122142000_100</v>
      </c>
      <c r="B10" s="1006" t="s">
        <v>1132</v>
      </c>
      <c r="C10" s="796" t="s">
        <v>1133</v>
      </c>
      <c r="D10" s="794" t="s">
        <v>1115</v>
      </c>
      <c r="E10" s="794" t="s">
        <v>1116</v>
      </c>
      <c r="F10" s="979">
        <v>3876.192</v>
      </c>
      <c r="G10" s="979"/>
      <c r="H10" s="979"/>
      <c r="I10" s="979"/>
      <c r="J10" s="979"/>
      <c r="K10" s="979"/>
      <c r="L10" s="979"/>
      <c r="M10" s="979"/>
      <c r="N10" s="979"/>
      <c r="O10" s="979"/>
      <c r="P10" s="979"/>
      <c r="Q10" s="979"/>
      <c r="R10" s="982"/>
    </row>
    <row r="11" spans="1:22" x14ac:dyDescent="0.25">
      <c r="A11" s="439" t="str">
        <f t="shared" si="0"/>
        <v>122142000_110</v>
      </c>
      <c r="B11" s="1006" t="s">
        <v>1132</v>
      </c>
      <c r="C11" s="796" t="s">
        <v>1133</v>
      </c>
      <c r="D11" s="794" t="s">
        <v>1117</v>
      </c>
      <c r="E11" s="794" t="s">
        <v>1118</v>
      </c>
      <c r="F11" s="979"/>
      <c r="G11" s="979">
        <v>131.721</v>
      </c>
      <c r="H11" s="979">
        <v>131.721</v>
      </c>
      <c r="I11" s="979">
        <v>131.721</v>
      </c>
      <c r="J11" s="979">
        <v>131.721</v>
      </c>
      <c r="K11" s="979">
        <v>131.721</v>
      </c>
      <c r="L11" s="979">
        <v>131.721</v>
      </c>
      <c r="M11" s="979">
        <v>131.721</v>
      </c>
      <c r="N11" s="979">
        <v>131.721</v>
      </c>
      <c r="O11" s="979">
        <v>131.721</v>
      </c>
      <c r="P11" s="979">
        <v>131.721</v>
      </c>
      <c r="Q11" s="979">
        <v>131.721</v>
      </c>
      <c r="R11" s="982">
        <v>131.726</v>
      </c>
    </row>
    <row r="12" spans="1:22" x14ac:dyDescent="0.25">
      <c r="A12" s="439" t="str">
        <f t="shared" si="0"/>
        <v>122142000_200</v>
      </c>
      <c r="B12" s="1006" t="s">
        <v>1132</v>
      </c>
      <c r="C12" s="796" t="s">
        <v>1133</v>
      </c>
      <c r="D12" s="794" t="s">
        <v>1123</v>
      </c>
      <c r="E12" s="794" t="s">
        <v>1116</v>
      </c>
      <c r="F12" s="979">
        <v>-3398.2860000000001</v>
      </c>
      <c r="G12" s="979"/>
      <c r="H12" s="979"/>
      <c r="I12" s="979"/>
      <c r="J12" s="979"/>
      <c r="K12" s="979"/>
      <c r="L12" s="979"/>
      <c r="M12" s="979"/>
      <c r="N12" s="979"/>
      <c r="O12" s="979"/>
      <c r="P12" s="979"/>
      <c r="Q12" s="979"/>
      <c r="R12" s="982"/>
    </row>
    <row r="13" spans="1:22" x14ac:dyDescent="0.25">
      <c r="A13" s="439" t="str">
        <f t="shared" si="0"/>
        <v>122142000_210</v>
      </c>
      <c r="B13" s="1006" t="s">
        <v>1132</v>
      </c>
      <c r="C13" s="796" t="s">
        <v>1133</v>
      </c>
      <c r="D13" s="794" t="s">
        <v>1124</v>
      </c>
      <c r="E13" s="794" t="s">
        <v>1125</v>
      </c>
      <c r="F13" s="979"/>
      <c r="G13" s="979">
        <v>-81.302999999999997</v>
      </c>
      <c r="H13" s="979">
        <v>-81.302999999999997</v>
      </c>
      <c r="I13" s="979">
        <v>-81.302999999999997</v>
      </c>
      <c r="J13" s="979">
        <v>-81.302999999999997</v>
      </c>
      <c r="K13" s="979">
        <v>-81.302999999999997</v>
      </c>
      <c r="L13" s="979">
        <v>-81.302999999999997</v>
      </c>
      <c r="M13" s="979">
        <v>-81.302999999999997</v>
      </c>
      <c r="N13" s="979">
        <v>-107.648</v>
      </c>
      <c r="O13" s="979">
        <v>-107.648</v>
      </c>
      <c r="P13" s="979">
        <v>-107.648</v>
      </c>
      <c r="Q13" s="979">
        <v>-107.648</v>
      </c>
      <c r="R13" s="982">
        <v>-107.648</v>
      </c>
    </row>
    <row r="14" spans="1:22" x14ac:dyDescent="0.25">
      <c r="A14" s="439" t="str">
        <f t="shared" si="0"/>
        <v>122142000_Result</v>
      </c>
      <c r="B14" s="1006" t="s">
        <v>1132</v>
      </c>
      <c r="C14" s="796" t="s">
        <v>1133</v>
      </c>
      <c r="D14" s="824" t="s">
        <v>1129</v>
      </c>
      <c r="E14" s="822"/>
      <c r="F14" s="980">
        <v>477.90600000000001</v>
      </c>
      <c r="G14" s="980">
        <v>50.417999999999999</v>
      </c>
      <c r="H14" s="980">
        <v>50.417999999999999</v>
      </c>
      <c r="I14" s="980">
        <v>50.417999999999999</v>
      </c>
      <c r="J14" s="980">
        <v>50.417999999999999</v>
      </c>
      <c r="K14" s="980">
        <v>50.417999999999999</v>
      </c>
      <c r="L14" s="980">
        <v>50.417999999999999</v>
      </c>
      <c r="M14" s="980">
        <v>50.417999999999999</v>
      </c>
      <c r="N14" s="980">
        <v>24.073</v>
      </c>
      <c r="O14" s="980">
        <v>24.073</v>
      </c>
      <c r="P14" s="980">
        <v>24.073</v>
      </c>
      <c r="Q14" s="980">
        <v>24.073</v>
      </c>
      <c r="R14" s="983">
        <v>24.077999999999999</v>
      </c>
    </row>
    <row r="15" spans="1:22" x14ac:dyDescent="0.25">
      <c r="A15" s="439" t="str">
        <f t="shared" si="0"/>
        <v>122152000_135</v>
      </c>
      <c r="B15" s="1006" t="s">
        <v>1512</v>
      </c>
      <c r="C15" s="796" t="s">
        <v>1114</v>
      </c>
      <c r="D15" s="794" t="s">
        <v>1140</v>
      </c>
      <c r="E15" s="794" t="s">
        <v>1141</v>
      </c>
      <c r="F15" s="979"/>
      <c r="G15" s="979">
        <v>3344000</v>
      </c>
      <c r="H15" s="979"/>
      <c r="I15" s="979"/>
      <c r="J15" s="979"/>
      <c r="K15" s="979"/>
      <c r="L15" s="979"/>
      <c r="M15" s="979"/>
      <c r="N15" s="979"/>
      <c r="O15" s="979"/>
      <c r="P15" s="979"/>
      <c r="Q15" s="979"/>
      <c r="R15" s="982"/>
    </row>
    <row r="16" spans="1:22" x14ac:dyDescent="0.25">
      <c r="A16" s="439" t="str">
        <f t="shared" si="0"/>
        <v>122152000_210</v>
      </c>
      <c r="B16" s="1006" t="s">
        <v>1512</v>
      </c>
      <c r="C16" s="796" t="s">
        <v>1114</v>
      </c>
      <c r="D16" s="794" t="s">
        <v>1124</v>
      </c>
      <c r="E16" s="794" t="s">
        <v>1125</v>
      </c>
      <c r="F16" s="979"/>
      <c r="G16" s="979">
        <v>-55733.332999999999</v>
      </c>
      <c r="H16" s="979">
        <v>-55733.332999999999</v>
      </c>
      <c r="I16" s="979">
        <v>-55733.332999999999</v>
      </c>
      <c r="J16" s="979">
        <v>-55733.332999999999</v>
      </c>
      <c r="K16" s="979">
        <v>-55733.332999999999</v>
      </c>
      <c r="L16" s="979">
        <v>-55733.332999999999</v>
      </c>
      <c r="M16" s="979">
        <v>-55733.332999999999</v>
      </c>
      <c r="N16" s="979">
        <v>-55733.332999999999</v>
      </c>
      <c r="O16" s="979">
        <v>-55733.332999999999</v>
      </c>
      <c r="P16" s="979">
        <v>-55733.332999999999</v>
      </c>
      <c r="Q16" s="979">
        <v>-55733.332999999999</v>
      </c>
      <c r="R16" s="982">
        <v>-55733.332999999999</v>
      </c>
    </row>
    <row r="17" spans="1:18" x14ac:dyDescent="0.25">
      <c r="A17" s="439" t="str">
        <f t="shared" si="0"/>
        <v>122152000_235</v>
      </c>
      <c r="B17" s="1006" t="s">
        <v>1512</v>
      </c>
      <c r="C17" s="796" t="s">
        <v>1114</v>
      </c>
      <c r="D17" s="794" t="s">
        <v>1146</v>
      </c>
      <c r="E17" s="794" t="s">
        <v>1147</v>
      </c>
      <c r="F17" s="979"/>
      <c r="G17" s="979">
        <v>-2006400</v>
      </c>
      <c r="H17" s="979"/>
      <c r="I17" s="979"/>
      <c r="J17" s="979"/>
      <c r="K17" s="979"/>
      <c r="L17" s="979"/>
      <c r="M17" s="979"/>
      <c r="N17" s="979"/>
      <c r="O17" s="979"/>
      <c r="P17" s="979"/>
      <c r="Q17" s="979"/>
      <c r="R17" s="982"/>
    </row>
    <row r="18" spans="1:18" x14ac:dyDescent="0.25">
      <c r="A18" s="439" t="str">
        <f t="shared" si="0"/>
        <v>122152000_Result</v>
      </c>
      <c r="B18" s="1006" t="s">
        <v>1512</v>
      </c>
      <c r="C18" s="796" t="s">
        <v>1114</v>
      </c>
      <c r="D18" s="824" t="s">
        <v>1129</v>
      </c>
      <c r="E18" s="822"/>
      <c r="F18" s="980"/>
      <c r="G18" s="980">
        <v>1281866.6669999999</v>
      </c>
      <c r="H18" s="980">
        <v>-55733.332999999999</v>
      </c>
      <c r="I18" s="980">
        <v>-55733.332999999999</v>
      </c>
      <c r="J18" s="980">
        <v>-55733.332999999999</v>
      </c>
      <c r="K18" s="980">
        <v>-55733.332999999999</v>
      </c>
      <c r="L18" s="980">
        <v>-55733.332999999999</v>
      </c>
      <c r="M18" s="980">
        <v>-55733.332999999999</v>
      </c>
      <c r="N18" s="980">
        <v>-55733.332999999999</v>
      </c>
      <c r="O18" s="980">
        <v>-55733.332999999999</v>
      </c>
      <c r="P18" s="980">
        <v>-55733.332999999999</v>
      </c>
      <c r="Q18" s="980">
        <v>-55733.332999999999</v>
      </c>
      <c r="R18" s="983">
        <v>-55733.332999999999</v>
      </c>
    </row>
    <row r="19" spans="1:18" x14ac:dyDescent="0.25">
      <c r="A19" s="439" t="str">
        <f t="shared" si="0"/>
        <v>122600000_100</v>
      </c>
      <c r="B19" s="1005" t="s">
        <v>1134</v>
      </c>
      <c r="C19" s="795" t="s">
        <v>1135</v>
      </c>
      <c r="D19" s="794" t="s">
        <v>1115</v>
      </c>
      <c r="E19" s="794" t="s">
        <v>1116</v>
      </c>
      <c r="F19" s="979">
        <v>3220031.443</v>
      </c>
      <c r="G19" s="979">
        <v>0</v>
      </c>
      <c r="H19" s="979"/>
      <c r="I19" s="979"/>
      <c r="J19" s="979"/>
      <c r="K19" s="979"/>
      <c r="L19" s="979"/>
      <c r="M19" s="979"/>
      <c r="N19" s="979"/>
      <c r="O19" s="979"/>
      <c r="P19" s="979"/>
      <c r="Q19" s="979"/>
      <c r="R19" s="982"/>
    </row>
    <row r="20" spans="1:18" x14ac:dyDescent="0.25">
      <c r="A20" s="439" t="str">
        <f t="shared" si="0"/>
        <v>122600000_110</v>
      </c>
      <c r="B20" s="1005" t="s">
        <v>1134</v>
      </c>
      <c r="C20" s="795" t="s">
        <v>1135</v>
      </c>
      <c r="D20" s="794" t="s">
        <v>1117</v>
      </c>
      <c r="E20" s="794" t="s">
        <v>1118</v>
      </c>
      <c r="F20" s="979"/>
      <c r="G20" s="979">
        <v>41199.578000000001</v>
      </c>
      <c r="H20" s="979">
        <v>41199.578000000001</v>
      </c>
      <c r="I20" s="979">
        <v>41199.578000000001</v>
      </c>
      <c r="J20" s="979">
        <v>41199.578000000001</v>
      </c>
      <c r="K20" s="979">
        <v>41199.578000000001</v>
      </c>
      <c r="L20" s="979">
        <v>41199.578000000001</v>
      </c>
      <c r="M20" s="979">
        <v>41199.578000000001</v>
      </c>
      <c r="N20" s="979">
        <v>216933.21</v>
      </c>
      <c r="O20" s="979">
        <v>41199.578000000001</v>
      </c>
      <c r="P20" s="979">
        <v>41199.578000000001</v>
      </c>
      <c r="Q20" s="979">
        <v>41199.578000000001</v>
      </c>
      <c r="R20" s="982">
        <v>41199.586000000003</v>
      </c>
    </row>
    <row r="21" spans="1:18" x14ac:dyDescent="0.25">
      <c r="A21" s="439" t="str">
        <f t="shared" si="0"/>
        <v>122600000_200</v>
      </c>
      <c r="B21" s="1005" t="s">
        <v>1134</v>
      </c>
      <c r="C21" s="795" t="s">
        <v>1135</v>
      </c>
      <c r="D21" s="794" t="s">
        <v>1123</v>
      </c>
      <c r="E21" s="794" t="s">
        <v>1116</v>
      </c>
      <c r="F21" s="979">
        <v>-1724369.8019999999</v>
      </c>
      <c r="G21" s="979">
        <v>0</v>
      </c>
      <c r="H21" s="979"/>
      <c r="I21" s="979"/>
      <c r="J21" s="979"/>
      <c r="K21" s="979"/>
      <c r="L21" s="979"/>
      <c r="M21" s="979"/>
      <c r="N21" s="979"/>
      <c r="O21" s="979"/>
      <c r="P21" s="979"/>
      <c r="Q21" s="979"/>
      <c r="R21" s="982"/>
    </row>
    <row r="22" spans="1:18" x14ac:dyDescent="0.25">
      <c r="A22" s="439" t="str">
        <f t="shared" si="0"/>
        <v>122600000_210</v>
      </c>
      <c r="B22" s="1005" t="s">
        <v>1134</v>
      </c>
      <c r="C22" s="795" t="s">
        <v>1135</v>
      </c>
      <c r="D22" s="794" t="s">
        <v>1124</v>
      </c>
      <c r="E22" s="794" t="s">
        <v>1125</v>
      </c>
      <c r="F22" s="979"/>
      <c r="G22" s="979">
        <v>-16942.082999999999</v>
      </c>
      <c r="H22" s="979">
        <v>-17439.778999999999</v>
      </c>
      <c r="I22" s="979">
        <v>-18266.446</v>
      </c>
      <c r="J22" s="979">
        <v>-18282.793000000001</v>
      </c>
      <c r="K22" s="979">
        <v>-18297.847000000002</v>
      </c>
      <c r="L22" s="979">
        <v>-18498.409</v>
      </c>
      <c r="M22" s="979">
        <v>-18747.504000000001</v>
      </c>
      <c r="N22" s="979">
        <v>-20813.111000000001</v>
      </c>
      <c r="O22" s="979">
        <v>-18936.569</v>
      </c>
      <c r="P22" s="979">
        <v>-18936.569</v>
      </c>
      <c r="Q22" s="979">
        <v>-18945.394</v>
      </c>
      <c r="R22" s="982">
        <v>-18945.394</v>
      </c>
    </row>
    <row r="23" spans="1:18" x14ac:dyDescent="0.25">
      <c r="A23" s="439" t="str">
        <f t="shared" si="0"/>
        <v>122600000_211</v>
      </c>
      <c r="B23" s="1005" t="s">
        <v>1134</v>
      </c>
      <c r="C23" s="795" t="s">
        <v>1135</v>
      </c>
      <c r="D23" s="794" t="s">
        <v>1142</v>
      </c>
      <c r="E23" s="794" t="s">
        <v>1143</v>
      </c>
      <c r="F23" s="979"/>
      <c r="G23" s="979">
        <v>-3188.6979999999999</v>
      </c>
      <c r="H23" s="979">
        <v>-3188.6979999999999</v>
      </c>
      <c r="I23" s="979">
        <v>-3188.6979999999999</v>
      </c>
      <c r="J23" s="979">
        <v>-3188.6979999999999</v>
      </c>
      <c r="K23" s="979">
        <v>-3188.6979999999999</v>
      </c>
      <c r="L23" s="979">
        <v>-3188.6979999999999</v>
      </c>
      <c r="M23" s="979">
        <v>-3188.6979999999999</v>
      </c>
      <c r="N23" s="979">
        <v>-3188.6979999999999</v>
      </c>
      <c r="O23" s="979">
        <v>-3188.6979999999999</v>
      </c>
      <c r="P23" s="979">
        <v>-3188.6979999999999</v>
      </c>
      <c r="Q23" s="979">
        <v>-3188.6979999999999</v>
      </c>
      <c r="R23" s="982">
        <v>-3188.6979999999999</v>
      </c>
    </row>
    <row r="24" spans="1:18" x14ac:dyDescent="0.25">
      <c r="A24" s="439" t="str">
        <f t="shared" si="0"/>
        <v>122600000_Result</v>
      </c>
      <c r="B24" s="1005" t="s">
        <v>1134</v>
      </c>
      <c r="C24" s="795" t="s">
        <v>1135</v>
      </c>
      <c r="D24" s="824" t="s">
        <v>1129</v>
      </c>
      <c r="E24" s="822"/>
      <c r="F24" s="980">
        <v>1495661.6410000001</v>
      </c>
      <c r="G24" s="980">
        <v>21068.796999999999</v>
      </c>
      <c r="H24" s="980">
        <v>20571.100999999999</v>
      </c>
      <c r="I24" s="980">
        <v>19744.434000000001</v>
      </c>
      <c r="J24" s="980">
        <v>19728.087</v>
      </c>
      <c r="K24" s="980">
        <v>19713.032999999999</v>
      </c>
      <c r="L24" s="980">
        <v>19512.471000000001</v>
      </c>
      <c r="M24" s="980">
        <v>19263.376</v>
      </c>
      <c r="N24" s="980">
        <v>192931.40100000001</v>
      </c>
      <c r="O24" s="980">
        <v>19074.311000000002</v>
      </c>
      <c r="P24" s="980">
        <v>19074.311000000002</v>
      </c>
      <c r="Q24" s="980">
        <v>19065.486000000001</v>
      </c>
      <c r="R24" s="983">
        <v>19065.493999999999</v>
      </c>
    </row>
    <row r="25" spans="1:18" x14ac:dyDescent="0.25">
      <c r="A25" s="439" t="str">
        <f t="shared" si="0"/>
        <v>122612000_100</v>
      </c>
      <c r="B25" s="1006" t="s">
        <v>1148</v>
      </c>
      <c r="C25" s="796" t="s">
        <v>1149</v>
      </c>
      <c r="D25" s="794" t="s">
        <v>1115</v>
      </c>
      <c r="E25" s="794" t="s">
        <v>1116</v>
      </c>
      <c r="F25" s="979">
        <v>188386.402</v>
      </c>
      <c r="G25" s="979"/>
      <c r="H25" s="979"/>
      <c r="I25" s="979"/>
      <c r="J25" s="979"/>
      <c r="K25" s="979"/>
      <c r="L25" s="979"/>
      <c r="M25" s="979"/>
      <c r="N25" s="979"/>
      <c r="O25" s="979"/>
      <c r="P25" s="979"/>
      <c r="Q25" s="979"/>
      <c r="R25" s="982"/>
    </row>
    <row r="26" spans="1:18" x14ac:dyDescent="0.25">
      <c r="A26" s="439" t="str">
        <f t="shared" si="0"/>
        <v>122612000_Result</v>
      </c>
      <c r="B26" s="1006" t="s">
        <v>1148</v>
      </c>
      <c r="C26" s="796" t="s">
        <v>1149</v>
      </c>
      <c r="D26" s="824" t="s">
        <v>1129</v>
      </c>
      <c r="E26" s="822"/>
      <c r="F26" s="980">
        <v>188386.402</v>
      </c>
      <c r="G26" s="980"/>
      <c r="H26" s="980"/>
      <c r="I26" s="980"/>
      <c r="J26" s="980"/>
      <c r="K26" s="980"/>
      <c r="L26" s="980"/>
      <c r="M26" s="980"/>
      <c r="N26" s="980"/>
      <c r="O26" s="980"/>
      <c r="P26" s="980"/>
      <c r="Q26" s="980"/>
      <c r="R26" s="983"/>
    </row>
    <row r="27" spans="1:18" x14ac:dyDescent="0.25">
      <c r="A27" s="439" t="str">
        <f t="shared" si="0"/>
        <v>122613000_100</v>
      </c>
      <c r="B27" s="1006" t="s">
        <v>1150</v>
      </c>
      <c r="C27" s="796" t="s">
        <v>1151</v>
      </c>
      <c r="D27" s="794" t="s">
        <v>1115</v>
      </c>
      <c r="E27" s="794" t="s">
        <v>1116</v>
      </c>
      <c r="F27" s="979">
        <v>-1202.7149999999999</v>
      </c>
      <c r="G27" s="979"/>
      <c r="H27" s="979"/>
      <c r="I27" s="979"/>
      <c r="J27" s="979"/>
      <c r="K27" s="979"/>
      <c r="L27" s="979"/>
      <c r="M27" s="979"/>
      <c r="N27" s="979"/>
      <c r="O27" s="979"/>
      <c r="P27" s="979"/>
      <c r="Q27" s="979"/>
      <c r="R27" s="982"/>
    </row>
    <row r="28" spans="1:18" x14ac:dyDescent="0.25">
      <c r="A28" s="439" t="str">
        <f t="shared" si="0"/>
        <v>122613000_200</v>
      </c>
      <c r="B28" s="1006" t="s">
        <v>1150</v>
      </c>
      <c r="C28" s="796" t="s">
        <v>1151</v>
      </c>
      <c r="D28" s="794" t="s">
        <v>1123</v>
      </c>
      <c r="E28" s="794" t="s">
        <v>1116</v>
      </c>
      <c r="F28" s="979">
        <v>1156.008</v>
      </c>
      <c r="G28" s="979"/>
      <c r="H28" s="979"/>
      <c r="I28" s="979"/>
      <c r="J28" s="979"/>
      <c r="K28" s="979"/>
      <c r="L28" s="979"/>
      <c r="M28" s="979"/>
      <c r="N28" s="979"/>
      <c r="O28" s="979"/>
      <c r="P28" s="979"/>
      <c r="Q28" s="979"/>
      <c r="R28" s="982"/>
    </row>
    <row r="29" spans="1:18" x14ac:dyDescent="0.25">
      <c r="A29" s="439" t="str">
        <f t="shared" si="0"/>
        <v>122613000_Result</v>
      </c>
      <c r="B29" s="1006" t="s">
        <v>1150</v>
      </c>
      <c r="C29" s="796" t="s">
        <v>1151</v>
      </c>
      <c r="D29" s="824" t="s">
        <v>1129</v>
      </c>
      <c r="E29" s="822"/>
      <c r="F29" s="980">
        <v>-46.707000000000001</v>
      </c>
      <c r="G29" s="980"/>
      <c r="H29" s="980"/>
      <c r="I29" s="980"/>
      <c r="J29" s="980"/>
      <c r="K29" s="980"/>
      <c r="L29" s="980"/>
      <c r="M29" s="980"/>
      <c r="N29" s="980"/>
      <c r="O29" s="980"/>
      <c r="P29" s="980"/>
      <c r="Q29" s="980"/>
      <c r="R29" s="983"/>
    </row>
    <row r="30" spans="1:18" x14ac:dyDescent="0.25">
      <c r="A30" s="439" t="str">
        <f t="shared" si="0"/>
        <v>122617100_100</v>
      </c>
      <c r="B30" s="1006" t="s">
        <v>1152</v>
      </c>
      <c r="C30" s="796" t="s">
        <v>1153</v>
      </c>
      <c r="D30" s="794" t="s">
        <v>1115</v>
      </c>
      <c r="E30" s="794" t="s">
        <v>1116</v>
      </c>
      <c r="F30" s="979">
        <v>754421.61499999999</v>
      </c>
      <c r="G30" s="979"/>
      <c r="H30" s="979"/>
      <c r="I30" s="979"/>
      <c r="J30" s="979"/>
      <c r="K30" s="979"/>
      <c r="L30" s="979"/>
      <c r="M30" s="979"/>
      <c r="N30" s="979"/>
      <c r="O30" s="979"/>
      <c r="P30" s="979"/>
      <c r="Q30" s="979"/>
      <c r="R30" s="982"/>
    </row>
    <row r="31" spans="1:18" x14ac:dyDescent="0.25">
      <c r="A31" s="439" t="str">
        <f t="shared" si="0"/>
        <v>122617100_110</v>
      </c>
      <c r="B31" s="1006" t="s">
        <v>1152</v>
      </c>
      <c r="C31" s="796" t="s">
        <v>1153</v>
      </c>
      <c r="D31" s="794" t="s">
        <v>1117</v>
      </c>
      <c r="E31" s="794" t="s">
        <v>1118</v>
      </c>
      <c r="F31" s="979"/>
      <c r="G31" s="979">
        <v>17687.067999999999</v>
      </c>
      <c r="H31" s="979">
        <v>17687.067999999999</v>
      </c>
      <c r="I31" s="979">
        <v>17687.067999999999</v>
      </c>
      <c r="J31" s="979">
        <v>17687.067999999999</v>
      </c>
      <c r="K31" s="979">
        <v>17687.067999999999</v>
      </c>
      <c r="L31" s="979">
        <v>17687.067999999999</v>
      </c>
      <c r="M31" s="979">
        <v>17687.067999999999</v>
      </c>
      <c r="N31" s="979">
        <v>17687.067999999999</v>
      </c>
      <c r="O31" s="979">
        <v>17687.067999999999</v>
      </c>
      <c r="P31" s="979">
        <v>17687.067999999999</v>
      </c>
      <c r="Q31" s="979">
        <v>17687.067999999999</v>
      </c>
      <c r="R31" s="982">
        <v>17687.067999999999</v>
      </c>
    </row>
    <row r="32" spans="1:18" x14ac:dyDescent="0.25">
      <c r="A32" s="439" t="str">
        <f t="shared" si="0"/>
        <v>122617100_200</v>
      </c>
      <c r="B32" s="1006" t="s">
        <v>1152</v>
      </c>
      <c r="C32" s="796" t="s">
        <v>1153</v>
      </c>
      <c r="D32" s="794" t="s">
        <v>1123</v>
      </c>
      <c r="E32" s="794" t="s">
        <v>1116</v>
      </c>
      <c r="F32" s="979">
        <v>-376010.95600000001</v>
      </c>
      <c r="G32" s="979"/>
      <c r="H32" s="979"/>
      <c r="I32" s="979"/>
      <c r="J32" s="979"/>
      <c r="K32" s="979"/>
      <c r="L32" s="979"/>
      <c r="M32" s="979"/>
      <c r="N32" s="979"/>
      <c r="O32" s="979"/>
      <c r="P32" s="979"/>
      <c r="Q32" s="979"/>
      <c r="R32" s="982"/>
    </row>
    <row r="33" spans="1:18" x14ac:dyDescent="0.25">
      <c r="A33" s="439" t="str">
        <f t="shared" si="0"/>
        <v>122617100_210</v>
      </c>
      <c r="B33" s="1006" t="s">
        <v>1152</v>
      </c>
      <c r="C33" s="796" t="s">
        <v>1153</v>
      </c>
      <c r="D33" s="794" t="s">
        <v>1124</v>
      </c>
      <c r="E33" s="794" t="s">
        <v>1125</v>
      </c>
      <c r="F33" s="979"/>
      <c r="G33" s="979">
        <v>-3961.9459999999999</v>
      </c>
      <c r="H33" s="979">
        <v>-3961.9459999999999</v>
      </c>
      <c r="I33" s="979">
        <v>-3961.9459999999999</v>
      </c>
      <c r="J33" s="979">
        <v>-3961.9459999999999</v>
      </c>
      <c r="K33" s="979">
        <v>-3977</v>
      </c>
      <c r="L33" s="979">
        <v>-4076.0839999999998</v>
      </c>
      <c r="M33" s="979">
        <v>-4076.0839999999998</v>
      </c>
      <c r="N33" s="979">
        <v>-4283.451</v>
      </c>
      <c r="O33" s="979">
        <v>-4294.93</v>
      </c>
      <c r="P33" s="979">
        <v>-4294.93</v>
      </c>
      <c r="Q33" s="979">
        <v>-4294.93</v>
      </c>
      <c r="R33" s="982">
        <v>-4294.93</v>
      </c>
    </row>
    <row r="34" spans="1:18" x14ac:dyDescent="0.25">
      <c r="A34" s="439" t="str">
        <f t="shared" si="0"/>
        <v>122617100_Result</v>
      </c>
      <c r="B34" s="1006" t="s">
        <v>1152</v>
      </c>
      <c r="C34" s="796" t="s">
        <v>1153</v>
      </c>
      <c r="D34" s="824" t="s">
        <v>1129</v>
      </c>
      <c r="E34" s="822"/>
      <c r="F34" s="980">
        <v>378410.65899999999</v>
      </c>
      <c r="G34" s="980">
        <v>13725.121999999999</v>
      </c>
      <c r="H34" s="980">
        <v>13725.121999999999</v>
      </c>
      <c r="I34" s="980">
        <v>13725.121999999999</v>
      </c>
      <c r="J34" s="980">
        <v>13725.121999999999</v>
      </c>
      <c r="K34" s="980">
        <v>13710.067999999999</v>
      </c>
      <c r="L34" s="980">
        <v>13610.984</v>
      </c>
      <c r="M34" s="980">
        <v>13610.984</v>
      </c>
      <c r="N34" s="980">
        <v>13403.617</v>
      </c>
      <c r="O34" s="980">
        <v>13392.138000000001</v>
      </c>
      <c r="P34" s="980">
        <v>13392.138000000001</v>
      </c>
      <c r="Q34" s="980">
        <v>13392.138000000001</v>
      </c>
      <c r="R34" s="983">
        <v>13392.138000000001</v>
      </c>
    </row>
    <row r="35" spans="1:18" x14ac:dyDescent="0.25">
      <c r="A35" s="439" t="str">
        <f t="shared" si="0"/>
        <v>122617200_100</v>
      </c>
      <c r="B35" s="1006" t="s">
        <v>1154</v>
      </c>
      <c r="C35" s="796" t="s">
        <v>1155</v>
      </c>
      <c r="D35" s="794" t="s">
        <v>1115</v>
      </c>
      <c r="E35" s="794" t="s">
        <v>1116</v>
      </c>
      <c r="F35" s="979">
        <v>40581.260999999999</v>
      </c>
      <c r="G35" s="979">
        <v>0</v>
      </c>
      <c r="H35" s="979"/>
      <c r="I35" s="979"/>
      <c r="J35" s="979"/>
      <c r="K35" s="979"/>
      <c r="L35" s="979"/>
      <c r="M35" s="979"/>
      <c r="N35" s="979"/>
      <c r="O35" s="979"/>
      <c r="P35" s="979"/>
      <c r="Q35" s="979"/>
      <c r="R35" s="982"/>
    </row>
    <row r="36" spans="1:18" x14ac:dyDescent="0.25">
      <c r="A36" s="439" t="str">
        <f t="shared" si="0"/>
        <v>122617200_200</v>
      </c>
      <c r="B36" s="1006" t="s">
        <v>1154</v>
      </c>
      <c r="C36" s="796" t="s">
        <v>1155</v>
      </c>
      <c r="D36" s="794" t="s">
        <v>1123</v>
      </c>
      <c r="E36" s="794" t="s">
        <v>1116</v>
      </c>
      <c r="F36" s="979">
        <v>-14827.628000000001</v>
      </c>
      <c r="G36" s="979"/>
      <c r="H36" s="979"/>
      <c r="I36" s="979"/>
      <c r="J36" s="979"/>
      <c r="K36" s="979"/>
      <c r="L36" s="979"/>
      <c r="M36" s="979"/>
      <c r="N36" s="979"/>
      <c r="O36" s="979"/>
      <c r="P36" s="979"/>
      <c r="Q36" s="979"/>
      <c r="R36" s="982"/>
    </row>
    <row r="37" spans="1:18" x14ac:dyDescent="0.25">
      <c r="A37" s="439" t="str">
        <f t="shared" si="0"/>
        <v>122617200_Result</v>
      </c>
      <c r="B37" s="1006" t="s">
        <v>1154</v>
      </c>
      <c r="C37" s="796" t="s">
        <v>1155</v>
      </c>
      <c r="D37" s="824" t="s">
        <v>1129</v>
      </c>
      <c r="E37" s="822"/>
      <c r="F37" s="980">
        <v>25753.633000000002</v>
      </c>
      <c r="G37" s="980">
        <v>0</v>
      </c>
      <c r="H37" s="980"/>
      <c r="I37" s="980"/>
      <c r="J37" s="980"/>
      <c r="K37" s="980"/>
      <c r="L37" s="980"/>
      <c r="M37" s="980"/>
      <c r="N37" s="980"/>
      <c r="O37" s="980"/>
      <c r="P37" s="980"/>
      <c r="Q37" s="980"/>
      <c r="R37" s="983"/>
    </row>
    <row r="38" spans="1:18" x14ac:dyDescent="0.25">
      <c r="A38" s="439" t="str">
        <f t="shared" si="0"/>
        <v>122622000_100</v>
      </c>
      <c r="B38" s="1006" t="s">
        <v>1156</v>
      </c>
      <c r="C38" s="796" t="s">
        <v>1157</v>
      </c>
      <c r="D38" s="794" t="s">
        <v>1115</v>
      </c>
      <c r="E38" s="794" t="s">
        <v>1116</v>
      </c>
      <c r="F38" s="979">
        <v>1774945.987</v>
      </c>
      <c r="G38" s="979"/>
      <c r="H38" s="979"/>
      <c r="I38" s="979"/>
      <c r="J38" s="979"/>
      <c r="K38" s="979"/>
      <c r="L38" s="979"/>
      <c r="M38" s="979"/>
      <c r="N38" s="979"/>
      <c r="O38" s="979"/>
      <c r="P38" s="979"/>
      <c r="Q38" s="979"/>
      <c r="R38" s="982"/>
    </row>
    <row r="39" spans="1:18" x14ac:dyDescent="0.25">
      <c r="A39" s="439" t="str">
        <f t="shared" si="0"/>
        <v>122622000_110</v>
      </c>
      <c r="B39" s="1006" t="s">
        <v>1156</v>
      </c>
      <c r="C39" s="796" t="s">
        <v>1157</v>
      </c>
      <c r="D39" s="794" t="s">
        <v>1117</v>
      </c>
      <c r="E39" s="794" t="s">
        <v>1118</v>
      </c>
      <c r="F39" s="979"/>
      <c r="G39" s="979">
        <v>12232.004999999999</v>
      </c>
      <c r="H39" s="979">
        <v>12232.004999999999</v>
      </c>
      <c r="I39" s="979">
        <v>12232.004999999999</v>
      </c>
      <c r="J39" s="979">
        <v>12232.004999999999</v>
      </c>
      <c r="K39" s="979">
        <v>12232.004999999999</v>
      </c>
      <c r="L39" s="979">
        <v>12232.004999999999</v>
      </c>
      <c r="M39" s="979">
        <v>12232.004999999999</v>
      </c>
      <c r="N39" s="979">
        <v>187965.63699999999</v>
      </c>
      <c r="O39" s="979">
        <v>12232.004999999999</v>
      </c>
      <c r="P39" s="979">
        <v>12232.004999999999</v>
      </c>
      <c r="Q39" s="979">
        <v>12232.004999999999</v>
      </c>
      <c r="R39" s="982">
        <v>12232.004999999999</v>
      </c>
    </row>
    <row r="40" spans="1:18" x14ac:dyDescent="0.25">
      <c r="A40" s="439" t="str">
        <f t="shared" si="0"/>
        <v>122622000_200</v>
      </c>
      <c r="B40" s="1006" t="s">
        <v>1156</v>
      </c>
      <c r="C40" s="796" t="s">
        <v>1157</v>
      </c>
      <c r="D40" s="794" t="s">
        <v>1123</v>
      </c>
      <c r="E40" s="794" t="s">
        <v>1116</v>
      </c>
      <c r="F40" s="979">
        <v>-1196602.4240000001</v>
      </c>
      <c r="G40" s="979">
        <v>0</v>
      </c>
      <c r="H40" s="979"/>
      <c r="I40" s="979"/>
      <c r="J40" s="979"/>
      <c r="K40" s="979"/>
      <c r="L40" s="979"/>
      <c r="M40" s="979"/>
      <c r="N40" s="979"/>
      <c r="O40" s="979"/>
      <c r="P40" s="979"/>
      <c r="Q40" s="979"/>
      <c r="R40" s="982"/>
    </row>
    <row r="41" spans="1:18" x14ac:dyDescent="0.25">
      <c r="A41" s="439" t="str">
        <f t="shared" si="0"/>
        <v>122622000_210</v>
      </c>
      <c r="B41" s="1006" t="s">
        <v>1156</v>
      </c>
      <c r="C41" s="796" t="s">
        <v>1157</v>
      </c>
      <c r="D41" s="794" t="s">
        <v>1124</v>
      </c>
      <c r="E41" s="794" t="s">
        <v>1125</v>
      </c>
      <c r="F41" s="979"/>
      <c r="G41" s="979">
        <v>-10647.008</v>
      </c>
      <c r="H41" s="979">
        <v>-11144.704</v>
      </c>
      <c r="I41" s="979">
        <v>-11928.843999999999</v>
      </c>
      <c r="J41" s="979">
        <v>-11945.191000000001</v>
      </c>
      <c r="K41" s="979">
        <v>-11945.191000000001</v>
      </c>
      <c r="L41" s="979">
        <v>-11945.191000000001</v>
      </c>
      <c r="M41" s="979">
        <v>-12186.119000000001</v>
      </c>
      <c r="N41" s="979">
        <v>-14044.359</v>
      </c>
      <c r="O41" s="979">
        <v>-12156.338</v>
      </c>
      <c r="P41" s="979">
        <v>-12156.338</v>
      </c>
      <c r="Q41" s="979">
        <v>-12156.338</v>
      </c>
      <c r="R41" s="982">
        <v>-12156.338</v>
      </c>
    </row>
    <row r="42" spans="1:18" x14ac:dyDescent="0.25">
      <c r="A42" s="439" t="str">
        <f t="shared" si="0"/>
        <v>122622000_Result</v>
      </c>
      <c r="B42" s="1006" t="s">
        <v>1156</v>
      </c>
      <c r="C42" s="796" t="s">
        <v>1157</v>
      </c>
      <c r="D42" s="824" t="s">
        <v>1129</v>
      </c>
      <c r="E42" s="822"/>
      <c r="F42" s="980">
        <v>578343.56299999997</v>
      </c>
      <c r="G42" s="980">
        <v>1584.9970000000001</v>
      </c>
      <c r="H42" s="980">
        <v>1087.3009999999999</v>
      </c>
      <c r="I42" s="980">
        <v>303.161</v>
      </c>
      <c r="J42" s="980">
        <v>286.81400000000002</v>
      </c>
      <c r="K42" s="980">
        <v>286.81400000000002</v>
      </c>
      <c r="L42" s="980">
        <v>286.81400000000002</v>
      </c>
      <c r="M42" s="980">
        <v>45.886000000000003</v>
      </c>
      <c r="N42" s="980">
        <v>173921.27799999999</v>
      </c>
      <c r="O42" s="980">
        <v>75.667000000000002</v>
      </c>
      <c r="P42" s="980">
        <v>75.667000000000002</v>
      </c>
      <c r="Q42" s="980">
        <v>75.667000000000002</v>
      </c>
      <c r="R42" s="983">
        <v>75.667000000000002</v>
      </c>
    </row>
    <row r="43" spans="1:18" x14ac:dyDescent="0.25">
      <c r="A43" s="439" t="str">
        <f t="shared" si="0"/>
        <v>122627000_100</v>
      </c>
      <c r="B43" s="1006" t="s">
        <v>1158</v>
      </c>
      <c r="C43" s="796" t="s">
        <v>1159</v>
      </c>
      <c r="D43" s="794" t="s">
        <v>1115</v>
      </c>
      <c r="E43" s="794" t="s">
        <v>1116</v>
      </c>
      <c r="F43" s="979">
        <v>76098.789999999994</v>
      </c>
      <c r="G43" s="979"/>
      <c r="H43" s="979"/>
      <c r="I43" s="979"/>
      <c r="J43" s="979"/>
      <c r="K43" s="979"/>
      <c r="L43" s="979"/>
      <c r="M43" s="979"/>
      <c r="N43" s="979"/>
      <c r="O43" s="979"/>
      <c r="P43" s="979"/>
      <c r="Q43" s="979"/>
      <c r="R43" s="982"/>
    </row>
    <row r="44" spans="1:18" x14ac:dyDescent="0.25">
      <c r="A44" s="439" t="str">
        <f t="shared" si="0"/>
        <v>122627000_110</v>
      </c>
      <c r="B44" s="1006" t="s">
        <v>1158</v>
      </c>
      <c r="C44" s="796" t="s">
        <v>1159</v>
      </c>
      <c r="D44" s="794" t="s">
        <v>1117</v>
      </c>
      <c r="E44" s="794" t="s">
        <v>1118</v>
      </c>
      <c r="F44" s="979"/>
      <c r="G44" s="979">
        <v>804.98500000000001</v>
      </c>
      <c r="H44" s="979">
        <v>804.98500000000001</v>
      </c>
      <c r="I44" s="979">
        <v>804.98500000000001</v>
      </c>
      <c r="J44" s="979">
        <v>804.98500000000001</v>
      </c>
      <c r="K44" s="979">
        <v>804.98500000000001</v>
      </c>
      <c r="L44" s="979">
        <v>804.98500000000001</v>
      </c>
      <c r="M44" s="979">
        <v>804.98500000000001</v>
      </c>
      <c r="N44" s="979">
        <v>804.98500000000001</v>
      </c>
      <c r="O44" s="979">
        <v>804.98500000000001</v>
      </c>
      <c r="P44" s="979">
        <v>804.98500000000001</v>
      </c>
      <c r="Q44" s="979">
        <v>804.98500000000001</v>
      </c>
      <c r="R44" s="982">
        <v>804.98500000000001</v>
      </c>
    </row>
    <row r="45" spans="1:18" x14ac:dyDescent="0.25">
      <c r="A45" s="439" t="str">
        <f t="shared" si="0"/>
        <v>122627000_200</v>
      </c>
      <c r="B45" s="1006" t="s">
        <v>1158</v>
      </c>
      <c r="C45" s="796" t="s">
        <v>1159</v>
      </c>
      <c r="D45" s="794" t="s">
        <v>1123</v>
      </c>
      <c r="E45" s="794" t="s">
        <v>1116</v>
      </c>
      <c r="F45" s="979">
        <v>-48969.659</v>
      </c>
      <c r="G45" s="979"/>
      <c r="H45" s="979"/>
      <c r="I45" s="979"/>
      <c r="J45" s="979"/>
      <c r="K45" s="979"/>
      <c r="L45" s="979"/>
      <c r="M45" s="979"/>
      <c r="N45" s="979"/>
      <c r="O45" s="979"/>
      <c r="P45" s="979"/>
      <c r="Q45" s="979"/>
      <c r="R45" s="982"/>
    </row>
    <row r="46" spans="1:18" x14ac:dyDescent="0.25">
      <c r="A46" s="439" t="str">
        <f t="shared" si="0"/>
        <v>122627000_210</v>
      </c>
      <c r="B46" s="1006" t="s">
        <v>1158</v>
      </c>
      <c r="C46" s="796" t="s">
        <v>1159</v>
      </c>
      <c r="D46" s="794" t="s">
        <v>1124</v>
      </c>
      <c r="E46" s="794" t="s">
        <v>1125</v>
      </c>
      <c r="F46" s="979"/>
      <c r="G46" s="979">
        <v>-936.85199999999998</v>
      </c>
      <c r="H46" s="979">
        <v>-936.85199999999998</v>
      </c>
      <c r="I46" s="979">
        <v>-979.37900000000002</v>
      </c>
      <c r="J46" s="979">
        <v>-979.37900000000002</v>
      </c>
      <c r="K46" s="979">
        <v>-979.37900000000002</v>
      </c>
      <c r="L46" s="979">
        <v>-1080.857</v>
      </c>
      <c r="M46" s="979">
        <v>-1089.0239999999999</v>
      </c>
      <c r="N46" s="979">
        <v>-1089.0239999999999</v>
      </c>
      <c r="O46" s="979">
        <v>-1089.0239999999999</v>
      </c>
      <c r="P46" s="979">
        <v>-1089.0239999999999</v>
      </c>
      <c r="Q46" s="979">
        <v>-1097.8489999999999</v>
      </c>
      <c r="R46" s="982">
        <v>-1097.8489999999999</v>
      </c>
    </row>
    <row r="47" spans="1:18" x14ac:dyDescent="0.25">
      <c r="A47" s="439" t="str">
        <f t="shared" si="0"/>
        <v>122627000_Result</v>
      </c>
      <c r="B47" s="1006" t="s">
        <v>1158</v>
      </c>
      <c r="C47" s="796" t="s">
        <v>1159</v>
      </c>
      <c r="D47" s="824" t="s">
        <v>1129</v>
      </c>
      <c r="E47" s="822"/>
      <c r="F47" s="980">
        <v>27129.131000000001</v>
      </c>
      <c r="G47" s="980">
        <v>-131.86699999999999</v>
      </c>
      <c r="H47" s="980">
        <v>-131.86699999999999</v>
      </c>
      <c r="I47" s="980">
        <v>-174.39400000000001</v>
      </c>
      <c r="J47" s="980">
        <v>-174.39400000000001</v>
      </c>
      <c r="K47" s="980">
        <v>-174.39400000000001</v>
      </c>
      <c r="L47" s="980">
        <v>-275.87200000000001</v>
      </c>
      <c r="M47" s="980">
        <v>-284.03899999999999</v>
      </c>
      <c r="N47" s="980">
        <v>-284.03899999999999</v>
      </c>
      <c r="O47" s="980">
        <v>-284.03899999999999</v>
      </c>
      <c r="P47" s="980">
        <v>-284.03899999999999</v>
      </c>
      <c r="Q47" s="980">
        <v>-292.86399999999998</v>
      </c>
      <c r="R47" s="983">
        <v>-292.86399999999998</v>
      </c>
    </row>
    <row r="48" spans="1:18" x14ac:dyDescent="0.25">
      <c r="A48" s="439" t="str">
        <f t="shared" si="0"/>
        <v>122628000_100</v>
      </c>
      <c r="B48" s="1006" t="s">
        <v>1160</v>
      </c>
      <c r="C48" s="796" t="s">
        <v>1161</v>
      </c>
      <c r="D48" s="794" t="s">
        <v>1115</v>
      </c>
      <c r="E48" s="794" t="s">
        <v>1116</v>
      </c>
      <c r="F48" s="979">
        <v>4881.384</v>
      </c>
      <c r="G48" s="979"/>
      <c r="H48" s="979"/>
      <c r="I48" s="979"/>
      <c r="J48" s="979"/>
      <c r="K48" s="979"/>
      <c r="L48" s="979"/>
      <c r="M48" s="979"/>
      <c r="N48" s="979"/>
      <c r="O48" s="979"/>
      <c r="P48" s="979"/>
      <c r="Q48" s="979"/>
      <c r="R48" s="982"/>
    </row>
    <row r="49" spans="1:18" x14ac:dyDescent="0.25">
      <c r="A49" s="439" t="str">
        <f t="shared" si="0"/>
        <v>122628000_110</v>
      </c>
      <c r="B49" s="1006" t="s">
        <v>1160</v>
      </c>
      <c r="C49" s="796" t="s">
        <v>1161</v>
      </c>
      <c r="D49" s="794" t="s">
        <v>1117</v>
      </c>
      <c r="E49" s="794" t="s">
        <v>1118</v>
      </c>
      <c r="F49" s="979"/>
      <c r="G49" s="979">
        <v>282.86200000000002</v>
      </c>
      <c r="H49" s="979">
        <v>282.86200000000002</v>
      </c>
      <c r="I49" s="979">
        <v>282.86200000000002</v>
      </c>
      <c r="J49" s="979">
        <v>282.86200000000002</v>
      </c>
      <c r="K49" s="979">
        <v>282.86200000000002</v>
      </c>
      <c r="L49" s="979">
        <v>282.86200000000002</v>
      </c>
      <c r="M49" s="979">
        <v>282.86200000000002</v>
      </c>
      <c r="N49" s="979">
        <v>282.86200000000002</v>
      </c>
      <c r="O49" s="979">
        <v>282.86200000000002</v>
      </c>
      <c r="P49" s="979">
        <v>282.86200000000002</v>
      </c>
      <c r="Q49" s="979">
        <v>282.86200000000002</v>
      </c>
      <c r="R49" s="982">
        <v>282.86599999999999</v>
      </c>
    </row>
    <row r="50" spans="1:18" x14ac:dyDescent="0.25">
      <c r="A50" s="439" t="str">
        <f t="shared" si="0"/>
        <v>122628000_200</v>
      </c>
      <c r="B50" s="1006" t="s">
        <v>1160</v>
      </c>
      <c r="C50" s="796" t="s">
        <v>1161</v>
      </c>
      <c r="D50" s="794" t="s">
        <v>1123</v>
      </c>
      <c r="E50" s="794" t="s">
        <v>1116</v>
      </c>
      <c r="F50" s="979">
        <v>-4579.549</v>
      </c>
      <c r="G50" s="979"/>
      <c r="H50" s="979"/>
      <c r="I50" s="979"/>
      <c r="J50" s="979"/>
      <c r="K50" s="979"/>
      <c r="L50" s="979"/>
      <c r="M50" s="979"/>
      <c r="N50" s="979"/>
      <c r="O50" s="979"/>
      <c r="P50" s="979"/>
      <c r="Q50" s="979"/>
      <c r="R50" s="982"/>
    </row>
    <row r="51" spans="1:18" x14ac:dyDescent="0.25">
      <c r="A51" s="439" t="str">
        <f t="shared" si="0"/>
        <v>122628000_210</v>
      </c>
      <c r="B51" s="1006" t="s">
        <v>1160</v>
      </c>
      <c r="C51" s="796" t="s">
        <v>1161</v>
      </c>
      <c r="D51" s="794" t="s">
        <v>1124</v>
      </c>
      <c r="E51" s="794" t="s">
        <v>1125</v>
      </c>
      <c r="F51" s="979"/>
      <c r="G51" s="979">
        <v>-1396.277</v>
      </c>
      <c r="H51" s="979">
        <v>-1396.277</v>
      </c>
      <c r="I51" s="979">
        <v>-1396.277</v>
      </c>
      <c r="J51" s="979">
        <v>-1396.277</v>
      </c>
      <c r="K51" s="979">
        <v>-1396.277</v>
      </c>
      <c r="L51" s="979">
        <v>-1396.277</v>
      </c>
      <c r="M51" s="979">
        <v>-1396.277</v>
      </c>
      <c r="N51" s="979">
        <v>-1396.277</v>
      </c>
      <c r="O51" s="979">
        <v>-1396.277</v>
      </c>
      <c r="P51" s="979">
        <v>-1396.277</v>
      </c>
      <c r="Q51" s="979">
        <v>-1396.277</v>
      </c>
      <c r="R51" s="982">
        <v>-1396.277</v>
      </c>
    </row>
    <row r="52" spans="1:18" x14ac:dyDescent="0.25">
      <c r="A52" s="439" t="str">
        <f t="shared" si="0"/>
        <v>122628000_Result</v>
      </c>
      <c r="B52" s="1006" t="s">
        <v>1160</v>
      </c>
      <c r="C52" s="796" t="s">
        <v>1161</v>
      </c>
      <c r="D52" s="824" t="s">
        <v>1129</v>
      </c>
      <c r="E52" s="822"/>
      <c r="F52" s="980">
        <v>301.83499999999998</v>
      </c>
      <c r="G52" s="980">
        <v>-1113.415</v>
      </c>
      <c r="H52" s="980">
        <v>-1113.415</v>
      </c>
      <c r="I52" s="980">
        <v>-1113.415</v>
      </c>
      <c r="J52" s="980">
        <v>-1113.415</v>
      </c>
      <c r="K52" s="980">
        <v>-1113.415</v>
      </c>
      <c r="L52" s="980">
        <v>-1113.415</v>
      </c>
      <c r="M52" s="980">
        <v>-1113.415</v>
      </c>
      <c r="N52" s="980">
        <v>-1113.415</v>
      </c>
      <c r="O52" s="980">
        <v>-1113.415</v>
      </c>
      <c r="P52" s="980">
        <v>-1113.415</v>
      </c>
      <c r="Q52" s="980">
        <v>-1113.415</v>
      </c>
      <c r="R52" s="983">
        <v>-1113.4110000000001</v>
      </c>
    </row>
    <row r="53" spans="1:18" x14ac:dyDescent="0.25">
      <c r="A53" s="439" t="str">
        <f t="shared" si="0"/>
        <v>122632000_100</v>
      </c>
      <c r="B53" s="1006" t="s">
        <v>1162</v>
      </c>
      <c r="C53" s="796" t="s">
        <v>1163</v>
      </c>
      <c r="D53" s="794" t="s">
        <v>1115</v>
      </c>
      <c r="E53" s="794" t="s">
        <v>1116</v>
      </c>
      <c r="F53" s="979">
        <v>199302.33</v>
      </c>
      <c r="G53" s="979">
        <v>0</v>
      </c>
      <c r="H53" s="979"/>
      <c r="I53" s="979"/>
      <c r="J53" s="979"/>
      <c r="K53" s="979"/>
      <c r="L53" s="979"/>
      <c r="M53" s="979"/>
      <c r="N53" s="979"/>
      <c r="O53" s="979"/>
      <c r="P53" s="979"/>
      <c r="Q53" s="979"/>
      <c r="R53" s="982"/>
    </row>
    <row r="54" spans="1:18" x14ac:dyDescent="0.25">
      <c r="A54" s="439" t="str">
        <f t="shared" si="0"/>
        <v>122632000_Result</v>
      </c>
      <c r="B54" s="1006" t="s">
        <v>1162</v>
      </c>
      <c r="C54" s="796" t="s">
        <v>1163</v>
      </c>
      <c r="D54" s="824" t="s">
        <v>1129</v>
      </c>
      <c r="E54" s="822"/>
      <c r="F54" s="980">
        <v>199302.33</v>
      </c>
      <c r="G54" s="980">
        <v>0</v>
      </c>
      <c r="H54" s="980"/>
      <c r="I54" s="980"/>
      <c r="J54" s="980"/>
      <c r="K54" s="980"/>
      <c r="L54" s="980"/>
      <c r="M54" s="980"/>
      <c r="N54" s="980"/>
      <c r="O54" s="980"/>
      <c r="P54" s="980"/>
      <c r="Q54" s="980"/>
      <c r="R54" s="983"/>
    </row>
    <row r="55" spans="1:18" x14ac:dyDescent="0.25">
      <c r="A55" s="439" t="str">
        <f t="shared" si="0"/>
        <v>122637000_100</v>
      </c>
      <c r="B55" s="1006" t="s">
        <v>1164</v>
      </c>
      <c r="C55" s="796" t="s">
        <v>1165</v>
      </c>
      <c r="D55" s="794" t="s">
        <v>1115</v>
      </c>
      <c r="E55" s="794" t="s">
        <v>1116</v>
      </c>
      <c r="F55" s="979">
        <v>182616.389</v>
      </c>
      <c r="G55" s="979"/>
      <c r="H55" s="979"/>
      <c r="I55" s="979"/>
      <c r="J55" s="979"/>
      <c r="K55" s="979"/>
      <c r="L55" s="979"/>
      <c r="M55" s="979"/>
      <c r="N55" s="979"/>
      <c r="O55" s="979"/>
      <c r="P55" s="979"/>
      <c r="Q55" s="979"/>
      <c r="R55" s="982"/>
    </row>
    <row r="56" spans="1:18" x14ac:dyDescent="0.25">
      <c r="A56" s="439" t="str">
        <f t="shared" si="0"/>
        <v>122637000_110</v>
      </c>
      <c r="B56" s="1006" t="s">
        <v>1164</v>
      </c>
      <c r="C56" s="796" t="s">
        <v>1165</v>
      </c>
      <c r="D56" s="794" t="s">
        <v>1117</v>
      </c>
      <c r="E56" s="794" t="s">
        <v>1118</v>
      </c>
      <c r="F56" s="979"/>
      <c r="G56" s="979">
        <v>10192.657999999999</v>
      </c>
      <c r="H56" s="979">
        <v>10192.657999999999</v>
      </c>
      <c r="I56" s="979">
        <v>10192.657999999999</v>
      </c>
      <c r="J56" s="979">
        <v>10192.657999999999</v>
      </c>
      <c r="K56" s="979">
        <v>10192.657999999999</v>
      </c>
      <c r="L56" s="979">
        <v>10192.657999999999</v>
      </c>
      <c r="M56" s="979">
        <v>10192.657999999999</v>
      </c>
      <c r="N56" s="979">
        <v>10192.657999999999</v>
      </c>
      <c r="O56" s="979">
        <v>10192.657999999999</v>
      </c>
      <c r="P56" s="979">
        <v>10192.657999999999</v>
      </c>
      <c r="Q56" s="979">
        <v>10192.657999999999</v>
      </c>
      <c r="R56" s="982">
        <v>10192.662</v>
      </c>
    </row>
    <row r="57" spans="1:18" x14ac:dyDescent="0.25">
      <c r="A57" s="439" t="str">
        <f t="shared" si="0"/>
        <v>122637000_200</v>
      </c>
      <c r="B57" s="1006" t="s">
        <v>1164</v>
      </c>
      <c r="C57" s="796" t="s">
        <v>1165</v>
      </c>
      <c r="D57" s="794" t="s">
        <v>1123</v>
      </c>
      <c r="E57" s="794" t="s">
        <v>1116</v>
      </c>
      <c r="F57" s="979">
        <v>-84535.593999999997</v>
      </c>
      <c r="G57" s="979"/>
      <c r="H57" s="979"/>
      <c r="I57" s="979"/>
      <c r="J57" s="979"/>
      <c r="K57" s="979"/>
      <c r="L57" s="979"/>
      <c r="M57" s="979"/>
      <c r="N57" s="979"/>
      <c r="O57" s="979"/>
      <c r="P57" s="979"/>
      <c r="Q57" s="979"/>
      <c r="R57" s="982"/>
    </row>
    <row r="58" spans="1:18" x14ac:dyDescent="0.25">
      <c r="A58" s="439" t="str">
        <f t="shared" si="0"/>
        <v>122637000_211</v>
      </c>
      <c r="B58" s="1006" t="s">
        <v>1164</v>
      </c>
      <c r="C58" s="796" t="s">
        <v>1165</v>
      </c>
      <c r="D58" s="794" t="s">
        <v>1142</v>
      </c>
      <c r="E58" s="794" t="s">
        <v>1143</v>
      </c>
      <c r="F58" s="979"/>
      <c r="G58" s="979">
        <v>-3188.6979999999999</v>
      </c>
      <c r="H58" s="979">
        <v>-3188.6979999999999</v>
      </c>
      <c r="I58" s="979">
        <v>-3188.6979999999999</v>
      </c>
      <c r="J58" s="979">
        <v>-3188.6979999999999</v>
      </c>
      <c r="K58" s="979">
        <v>-3188.6979999999999</v>
      </c>
      <c r="L58" s="979">
        <v>-3188.6979999999999</v>
      </c>
      <c r="M58" s="979">
        <v>-3188.6979999999999</v>
      </c>
      <c r="N58" s="979">
        <v>-3188.6979999999999</v>
      </c>
      <c r="O58" s="979">
        <v>-3188.6979999999999</v>
      </c>
      <c r="P58" s="979">
        <v>-3188.6979999999999</v>
      </c>
      <c r="Q58" s="979">
        <v>-3188.6979999999999</v>
      </c>
      <c r="R58" s="982">
        <v>-3188.6979999999999</v>
      </c>
    </row>
    <row r="59" spans="1:18" x14ac:dyDescent="0.25">
      <c r="A59" s="439" t="str">
        <f t="shared" si="0"/>
        <v>122637000_Result</v>
      </c>
      <c r="B59" s="1006" t="s">
        <v>1164</v>
      </c>
      <c r="C59" s="796" t="s">
        <v>1165</v>
      </c>
      <c r="D59" s="824" t="s">
        <v>1129</v>
      </c>
      <c r="E59" s="822"/>
      <c r="F59" s="980">
        <v>98080.794999999998</v>
      </c>
      <c r="G59" s="980">
        <v>7003.96</v>
      </c>
      <c r="H59" s="980">
        <v>7003.96</v>
      </c>
      <c r="I59" s="980">
        <v>7003.96</v>
      </c>
      <c r="J59" s="980">
        <v>7003.96</v>
      </c>
      <c r="K59" s="980">
        <v>7003.96</v>
      </c>
      <c r="L59" s="980">
        <v>7003.96</v>
      </c>
      <c r="M59" s="980">
        <v>7003.96</v>
      </c>
      <c r="N59" s="980">
        <v>7003.96</v>
      </c>
      <c r="O59" s="980">
        <v>7003.96</v>
      </c>
      <c r="P59" s="980">
        <v>7003.96</v>
      </c>
      <c r="Q59" s="980">
        <v>7003.96</v>
      </c>
      <c r="R59" s="983">
        <v>7003.9639999999999</v>
      </c>
    </row>
    <row r="60" spans="1:18" x14ac:dyDescent="0.25">
      <c r="A60" s="439" t="str">
        <f t="shared" si="0"/>
        <v>131100000_300</v>
      </c>
      <c r="B60" s="1005" t="s">
        <v>1166</v>
      </c>
      <c r="C60" s="795" t="s">
        <v>659</v>
      </c>
      <c r="D60" s="794" t="s">
        <v>1167</v>
      </c>
      <c r="E60" s="794" t="s">
        <v>1116</v>
      </c>
      <c r="F60" s="979">
        <v>3440700.4849999999</v>
      </c>
      <c r="G60" s="979">
        <v>0</v>
      </c>
      <c r="H60" s="979"/>
      <c r="I60" s="979"/>
      <c r="J60" s="979"/>
      <c r="K60" s="979"/>
      <c r="L60" s="979"/>
      <c r="M60" s="979"/>
      <c r="N60" s="979"/>
      <c r="O60" s="979"/>
      <c r="P60" s="979"/>
      <c r="Q60" s="979"/>
      <c r="R60" s="982"/>
    </row>
    <row r="61" spans="1:18" x14ac:dyDescent="0.25">
      <c r="A61" s="439" t="str">
        <f t="shared" si="0"/>
        <v>131100000_310</v>
      </c>
      <c r="B61" s="1005" t="s">
        <v>1166</v>
      </c>
      <c r="C61" s="795" t="s">
        <v>659</v>
      </c>
      <c r="D61" s="794" t="s">
        <v>1168</v>
      </c>
      <c r="E61" s="794" t="s">
        <v>1169</v>
      </c>
      <c r="F61" s="979"/>
      <c r="G61" s="979">
        <v>-470550.30499999999</v>
      </c>
      <c r="H61" s="979">
        <v>15061.355</v>
      </c>
      <c r="I61" s="979">
        <v>-277875.90899999999</v>
      </c>
      <c r="J61" s="979">
        <v>-251627.68400000001</v>
      </c>
      <c r="K61" s="979">
        <v>-157476.03899999999</v>
      </c>
      <c r="L61" s="979">
        <v>-118971.56200000001</v>
      </c>
      <c r="M61" s="979">
        <v>-145224.42600000001</v>
      </c>
      <c r="N61" s="979">
        <v>-178790.09</v>
      </c>
      <c r="O61" s="979">
        <v>-296804.57400000002</v>
      </c>
      <c r="P61" s="979">
        <v>-113872.266</v>
      </c>
      <c r="Q61" s="979">
        <v>-12951.656000000001</v>
      </c>
      <c r="R61" s="982">
        <v>-207128.08900000001</v>
      </c>
    </row>
    <row r="62" spans="1:18" x14ac:dyDescent="0.25">
      <c r="A62" s="439" t="str">
        <f t="shared" si="0"/>
        <v>131100000_400</v>
      </c>
      <c r="B62" s="1005" t="s">
        <v>1166</v>
      </c>
      <c r="C62" s="795" t="s">
        <v>659</v>
      </c>
      <c r="D62" s="794" t="s">
        <v>1171</v>
      </c>
      <c r="E62" s="794" t="s">
        <v>1116</v>
      </c>
      <c r="F62" s="979">
        <v>-24738.044999999998</v>
      </c>
      <c r="G62" s="979"/>
      <c r="H62" s="979"/>
      <c r="I62" s="979"/>
      <c r="J62" s="979"/>
      <c r="K62" s="979"/>
      <c r="L62" s="979"/>
      <c r="M62" s="979"/>
      <c r="N62" s="979"/>
      <c r="O62" s="979"/>
      <c r="P62" s="979"/>
      <c r="Q62" s="979"/>
      <c r="R62" s="982"/>
    </row>
    <row r="63" spans="1:18" x14ac:dyDescent="0.25">
      <c r="A63" s="439" t="str">
        <f t="shared" si="0"/>
        <v>131100000_Result</v>
      </c>
      <c r="B63" s="1005" t="s">
        <v>1166</v>
      </c>
      <c r="C63" s="795" t="s">
        <v>659</v>
      </c>
      <c r="D63" s="824" t="s">
        <v>1129</v>
      </c>
      <c r="E63" s="822"/>
      <c r="F63" s="980">
        <v>3415962.44</v>
      </c>
      <c r="G63" s="980">
        <v>-470550.30499999999</v>
      </c>
      <c r="H63" s="980">
        <v>15061.355</v>
      </c>
      <c r="I63" s="980">
        <v>-277875.90899999999</v>
      </c>
      <c r="J63" s="980">
        <v>-251627.68400000001</v>
      </c>
      <c r="K63" s="980">
        <v>-157476.03899999999</v>
      </c>
      <c r="L63" s="980">
        <v>-118971.56200000001</v>
      </c>
      <c r="M63" s="980">
        <v>-145224.42600000001</v>
      </c>
      <c r="N63" s="980">
        <v>-178790.09</v>
      </c>
      <c r="O63" s="980">
        <v>-296804.57400000002</v>
      </c>
      <c r="P63" s="980">
        <v>-113872.266</v>
      </c>
      <c r="Q63" s="980">
        <v>-12951.656000000001</v>
      </c>
      <c r="R63" s="983">
        <v>-207128.08900000001</v>
      </c>
    </row>
    <row r="64" spans="1:18" x14ac:dyDescent="0.25">
      <c r="A64" s="439" t="str">
        <f t="shared" si="0"/>
        <v>131111000_300</v>
      </c>
      <c r="B64" s="1007" t="s">
        <v>1177</v>
      </c>
      <c r="C64" s="796" t="s">
        <v>1178</v>
      </c>
      <c r="D64" s="794" t="s">
        <v>1167</v>
      </c>
      <c r="E64" s="794" t="s">
        <v>1116</v>
      </c>
      <c r="F64" s="979">
        <v>387871.64500000002</v>
      </c>
      <c r="G64" s="979"/>
      <c r="H64" s="979"/>
      <c r="I64" s="979"/>
      <c r="J64" s="979"/>
      <c r="K64" s="979"/>
      <c r="L64" s="979"/>
      <c r="M64" s="979"/>
      <c r="N64" s="979"/>
      <c r="O64" s="979"/>
      <c r="P64" s="979"/>
      <c r="Q64" s="979"/>
      <c r="R64" s="982"/>
    </row>
    <row r="65" spans="1:18" x14ac:dyDescent="0.25">
      <c r="A65" s="439" t="str">
        <f t="shared" si="0"/>
        <v>131111000_310</v>
      </c>
      <c r="B65" s="1007" t="s">
        <v>1177</v>
      </c>
      <c r="C65" s="796" t="s">
        <v>1178</v>
      </c>
      <c r="D65" s="794" t="s">
        <v>1168</v>
      </c>
      <c r="E65" s="794" t="s">
        <v>1169</v>
      </c>
      <c r="F65" s="979"/>
      <c r="G65" s="979">
        <v>-65862.664999999994</v>
      </c>
      <c r="H65" s="979">
        <v>17630.435000000001</v>
      </c>
      <c r="I65" s="979">
        <v>-23406.402999999998</v>
      </c>
      <c r="J65" s="979">
        <v>-19445.152999999998</v>
      </c>
      <c r="K65" s="979">
        <v>-6117.0910000000003</v>
      </c>
      <c r="L65" s="979">
        <v>-13703.333000000001</v>
      </c>
      <c r="M65" s="979">
        <v>-18896.362000000001</v>
      </c>
      <c r="N65" s="979">
        <v>-7166.7349999999997</v>
      </c>
      <c r="O65" s="979">
        <v>-16559.508999999998</v>
      </c>
      <c r="P65" s="979">
        <v>1137.546</v>
      </c>
      <c r="Q65" s="979">
        <v>-18406.965</v>
      </c>
      <c r="R65" s="982">
        <v>-15439.23</v>
      </c>
    </row>
    <row r="66" spans="1:18" x14ac:dyDescent="0.25">
      <c r="A66" s="439" t="str">
        <f t="shared" si="0"/>
        <v>131111000_400</v>
      </c>
      <c r="B66" s="1007" t="s">
        <v>1177</v>
      </c>
      <c r="C66" s="796" t="s">
        <v>1178</v>
      </c>
      <c r="D66" s="794" t="s">
        <v>1171</v>
      </c>
      <c r="E66" s="794" t="s">
        <v>1116</v>
      </c>
      <c r="F66" s="979">
        <v>-11658.035</v>
      </c>
      <c r="G66" s="979"/>
      <c r="H66" s="979"/>
      <c r="I66" s="979"/>
      <c r="J66" s="979"/>
      <c r="K66" s="979"/>
      <c r="L66" s="979"/>
      <c r="M66" s="979"/>
      <c r="N66" s="979"/>
      <c r="O66" s="979"/>
      <c r="P66" s="979"/>
      <c r="Q66" s="979"/>
      <c r="R66" s="982"/>
    </row>
    <row r="67" spans="1:18" x14ac:dyDescent="0.25">
      <c r="A67" s="439" t="str">
        <f t="shared" si="0"/>
        <v>131111000_Result</v>
      </c>
      <c r="B67" s="1007" t="s">
        <v>1177</v>
      </c>
      <c r="C67" s="796" t="s">
        <v>1178</v>
      </c>
      <c r="D67" s="824" t="s">
        <v>1129</v>
      </c>
      <c r="E67" s="822"/>
      <c r="F67" s="980">
        <v>376213.61</v>
      </c>
      <c r="G67" s="980">
        <v>-65862.664999999994</v>
      </c>
      <c r="H67" s="980">
        <v>17630.435000000001</v>
      </c>
      <c r="I67" s="980">
        <v>-23406.402999999998</v>
      </c>
      <c r="J67" s="980">
        <v>-19445.152999999998</v>
      </c>
      <c r="K67" s="980">
        <v>-6117.0910000000003</v>
      </c>
      <c r="L67" s="980">
        <v>-13703.333000000001</v>
      </c>
      <c r="M67" s="980">
        <v>-18896.362000000001</v>
      </c>
      <c r="N67" s="980">
        <v>-7166.7349999999997</v>
      </c>
      <c r="O67" s="980">
        <v>-16559.508999999998</v>
      </c>
      <c r="P67" s="980">
        <v>1137.546</v>
      </c>
      <c r="Q67" s="980">
        <v>-18406.965</v>
      </c>
      <c r="R67" s="983">
        <v>-15439.23</v>
      </c>
    </row>
    <row r="68" spans="1:18" x14ac:dyDescent="0.25">
      <c r="A68" s="439" t="str">
        <f t="shared" ref="A68:A131" si="1" xml:space="preserve"> IFERROR(+B68*1,B68)&amp;"_"&amp;IFERROR(+D68*1,D68)</f>
        <v>131111100_300</v>
      </c>
      <c r="B68" s="1008" t="s">
        <v>1179</v>
      </c>
      <c r="C68" s="797" t="s">
        <v>1180</v>
      </c>
      <c r="D68" s="794" t="s">
        <v>1167</v>
      </c>
      <c r="E68" s="794" t="s">
        <v>1116</v>
      </c>
      <c r="F68" s="979">
        <v>387871.64500000002</v>
      </c>
      <c r="G68" s="979"/>
      <c r="H68" s="979"/>
      <c r="I68" s="979"/>
      <c r="J68" s="979"/>
      <c r="K68" s="979"/>
      <c r="L68" s="979"/>
      <c r="M68" s="979"/>
      <c r="N68" s="979"/>
      <c r="O68" s="979"/>
      <c r="P68" s="979"/>
      <c r="Q68" s="979"/>
      <c r="R68" s="982"/>
    </row>
    <row r="69" spans="1:18" x14ac:dyDescent="0.25">
      <c r="A69" s="439" t="str">
        <f t="shared" si="1"/>
        <v>131111100_310</v>
      </c>
      <c r="B69" s="1008" t="s">
        <v>1179</v>
      </c>
      <c r="C69" s="797" t="s">
        <v>1180</v>
      </c>
      <c r="D69" s="794" t="s">
        <v>1168</v>
      </c>
      <c r="E69" s="794" t="s">
        <v>1169</v>
      </c>
      <c r="F69" s="979"/>
      <c r="G69" s="979">
        <v>-65862.664999999994</v>
      </c>
      <c r="H69" s="979">
        <v>17630.435000000001</v>
      </c>
      <c r="I69" s="979">
        <v>-23406.402999999998</v>
      </c>
      <c r="J69" s="979">
        <v>-19445.152999999998</v>
      </c>
      <c r="K69" s="979">
        <v>-6117.0910000000003</v>
      </c>
      <c r="L69" s="979">
        <v>-13703.333000000001</v>
      </c>
      <c r="M69" s="979">
        <v>-18896.362000000001</v>
      </c>
      <c r="N69" s="979">
        <v>-7166.7349999999997</v>
      </c>
      <c r="O69" s="979">
        <v>-16559.508999999998</v>
      </c>
      <c r="P69" s="979">
        <v>1137.546</v>
      </c>
      <c r="Q69" s="979">
        <v>-18406.965</v>
      </c>
      <c r="R69" s="982">
        <v>-15439.23</v>
      </c>
    </row>
    <row r="70" spans="1:18" x14ac:dyDescent="0.25">
      <c r="A70" s="439" t="str">
        <f t="shared" si="1"/>
        <v>131111100_400</v>
      </c>
      <c r="B70" s="1008" t="s">
        <v>1179</v>
      </c>
      <c r="C70" s="797" t="s">
        <v>1180</v>
      </c>
      <c r="D70" s="794" t="s">
        <v>1171</v>
      </c>
      <c r="E70" s="794" t="s">
        <v>1116</v>
      </c>
      <c r="F70" s="979">
        <v>-11658.035</v>
      </c>
      <c r="G70" s="979"/>
      <c r="H70" s="979"/>
      <c r="I70" s="979"/>
      <c r="J70" s="979"/>
      <c r="K70" s="979"/>
      <c r="L70" s="979"/>
      <c r="M70" s="979"/>
      <c r="N70" s="979"/>
      <c r="O70" s="979"/>
      <c r="P70" s="979"/>
      <c r="Q70" s="979"/>
      <c r="R70" s="982"/>
    </row>
    <row r="71" spans="1:18" x14ac:dyDescent="0.25">
      <c r="A71" s="439" t="str">
        <f t="shared" si="1"/>
        <v>131111100_Result</v>
      </c>
      <c r="B71" s="1008" t="s">
        <v>1179</v>
      </c>
      <c r="C71" s="797" t="s">
        <v>1180</v>
      </c>
      <c r="D71" s="824" t="s">
        <v>1129</v>
      </c>
      <c r="E71" s="822"/>
      <c r="F71" s="980">
        <v>376213.61</v>
      </c>
      <c r="G71" s="980">
        <v>-65862.664999999994</v>
      </c>
      <c r="H71" s="980">
        <v>17630.435000000001</v>
      </c>
      <c r="I71" s="980">
        <v>-23406.402999999998</v>
      </c>
      <c r="J71" s="980">
        <v>-19445.152999999998</v>
      </c>
      <c r="K71" s="980">
        <v>-6117.0910000000003</v>
      </c>
      <c r="L71" s="980">
        <v>-13703.333000000001</v>
      </c>
      <c r="M71" s="980">
        <v>-18896.362000000001</v>
      </c>
      <c r="N71" s="980">
        <v>-7166.7349999999997</v>
      </c>
      <c r="O71" s="980">
        <v>-16559.508999999998</v>
      </c>
      <c r="P71" s="980">
        <v>1137.546</v>
      </c>
      <c r="Q71" s="980">
        <v>-18406.965</v>
      </c>
      <c r="R71" s="983">
        <v>-15439.23</v>
      </c>
    </row>
    <row r="72" spans="1:18" x14ac:dyDescent="0.25">
      <c r="A72" s="439" t="str">
        <f t="shared" si="1"/>
        <v>131116000_300</v>
      </c>
      <c r="B72" s="1006" t="s">
        <v>1181</v>
      </c>
      <c r="C72" s="796" t="s">
        <v>1182</v>
      </c>
      <c r="D72" s="794" t="s">
        <v>1167</v>
      </c>
      <c r="E72" s="794" t="s">
        <v>1116</v>
      </c>
      <c r="F72" s="979">
        <v>127421.875</v>
      </c>
      <c r="G72" s="979"/>
      <c r="H72" s="979"/>
      <c r="I72" s="979"/>
      <c r="J72" s="979"/>
      <c r="K72" s="979"/>
      <c r="L72" s="979"/>
      <c r="M72" s="979"/>
      <c r="N72" s="979"/>
      <c r="O72" s="979"/>
      <c r="P72" s="979"/>
      <c r="Q72" s="979"/>
      <c r="R72" s="982"/>
    </row>
    <row r="73" spans="1:18" x14ac:dyDescent="0.25">
      <c r="A73" s="439" t="str">
        <f t="shared" si="1"/>
        <v>131116000_310</v>
      </c>
      <c r="B73" s="1006" t="s">
        <v>1181</v>
      </c>
      <c r="C73" s="796" t="s">
        <v>1182</v>
      </c>
      <c r="D73" s="794" t="s">
        <v>1168</v>
      </c>
      <c r="E73" s="794" t="s">
        <v>1169</v>
      </c>
      <c r="F73" s="979"/>
      <c r="G73" s="979">
        <v>-13100.64</v>
      </c>
      <c r="H73" s="979">
        <v>57106.92</v>
      </c>
      <c r="I73" s="979">
        <v>-32384.506000000001</v>
      </c>
      <c r="J73" s="979">
        <v>-24721.530999999999</v>
      </c>
      <c r="K73" s="979">
        <v>3068.0520000000001</v>
      </c>
      <c r="L73" s="979">
        <v>18915.771000000001</v>
      </c>
      <c r="M73" s="979">
        <v>11674.936</v>
      </c>
      <c r="N73" s="979">
        <v>-3899.355</v>
      </c>
      <c r="O73" s="979">
        <v>-41247.065000000002</v>
      </c>
      <c r="P73" s="979">
        <v>15566.188</v>
      </c>
      <c r="Q73" s="979">
        <v>25678.309000000001</v>
      </c>
      <c r="R73" s="982">
        <v>-44358.858999999997</v>
      </c>
    </row>
    <row r="74" spans="1:18" x14ac:dyDescent="0.25">
      <c r="A74" s="439" t="str">
        <f t="shared" si="1"/>
        <v>131116000_400</v>
      </c>
      <c r="B74" s="1006" t="s">
        <v>1181</v>
      </c>
      <c r="C74" s="796" t="s">
        <v>1182</v>
      </c>
      <c r="D74" s="794" t="s">
        <v>1171</v>
      </c>
      <c r="E74" s="794" t="s">
        <v>1116</v>
      </c>
      <c r="F74" s="979">
        <v>-110.045</v>
      </c>
      <c r="G74" s="979"/>
      <c r="H74" s="979"/>
      <c r="I74" s="979"/>
      <c r="J74" s="979"/>
      <c r="K74" s="979"/>
      <c r="L74" s="979"/>
      <c r="M74" s="979"/>
      <c r="N74" s="979"/>
      <c r="O74" s="979"/>
      <c r="P74" s="979"/>
      <c r="Q74" s="979"/>
      <c r="R74" s="982"/>
    </row>
    <row r="75" spans="1:18" x14ac:dyDescent="0.25">
      <c r="A75" s="439" t="str">
        <f t="shared" si="1"/>
        <v>131116000_Result</v>
      </c>
      <c r="B75" s="1006" t="s">
        <v>1181</v>
      </c>
      <c r="C75" s="796" t="s">
        <v>1182</v>
      </c>
      <c r="D75" s="824" t="s">
        <v>1129</v>
      </c>
      <c r="E75" s="822"/>
      <c r="F75" s="980">
        <v>127311.83</v>
      </c>
      <c r="G75" s="980">
        <v>-13100.64</v>
      </c>
      <c r="H75" s="980">
        <v>57106.92</v>
      </c>
      <c r="I75" s="980">
        <v>-32384.506000000001</v>
      </c>
      <c r="J75" s="980">
        <v>-24721.530999999999</v>
      </c>
      <c r="K75" s="980">
        <v>3068.0520000000001</v>
      </c>
      <c r="L75" s="980">
        <v>18915.771000000001</v>
      </c>
      <c r="M75" s="980">
        <v>11674.936</v>
      </c>
      <c r="N75" s="980">
        <v>-3899.355</v>
      </c>
      <c r="O75" s="980">
        <v>-41247.065000000002</v>
      </c>
      <c r="P75" s="980">
        <v>15566.188</v>
      </c>
      <c r="Q75" s="980">
        <v>25678.309000000001</v>
      </c>
      <c r="R75" s="983">
        <v>-44358.858999999997</v>
      </c>
    </row>
    <row r="76" spans="1:18" x14ac:dyDescent="0.25">
      <c r="A76" s="439" t="str">
        <f t="shared" si="1"/>
        <v>131121000_300</v>
      </c>
      <c r="B76" s="1007" t="s">
        <v>1183</v>
      </c>
      <c r="C76" s="796" t="s">
        <v>1026</v>
      </c>
      <c r="D76" s="794" t="s">
        <v>1167</v>
      </c>
      <c r="E76" s="794" t="s">
        <v>1116</v>
      </c>
      <c r="F76" s="979">
        <v>2925406.9649999999</v>
      </c>
      <c r="G76" s="979">
        <v>0</v>
      </c>
      <c r="H76" s="979"/>
      <c r="I76" s="979"/>
      <c r="J76" s="979"/>
      <c r="K76" s="979"/>
      <c r="L76" s="979"/>
      <c r="M76" s="979"/>
      <c r="N76" s="979"/>
      <c r="O76" s="979"/>
      <c r="P76" s="979"/>
      <c r="Q76" s="979"/>
      <c r="R76" s="982"/>
    </row>
    <row r="77" spans="1:18" x14ac:dyDescent="0.25">
      <c r="A77" s="439" t="str">
        <f t="shared" si="1"/>
        <v>131121000_310</v>
      </c>
      <c r="B77" s="1007" t="s">
        <v>1183</v>
      </c>
      <c r="C77" s="796" t="s">
        <v>1026</v>
      </c>
      <c r="D77" s="794" t="s">
        <v>1168</v>
      </c>
      <c r="E77" s="794" t="s">
        <v>1169</v>
      </c>
      <c r="F77" s="979"/>
      <c r="G77" s="979">
        <v>-391587</v>
      </c>
      <c r="H77" s="979">
        <v>-59676</v>
      </c>
      <c r="I77" s="979">
        <v>-222085</v>
      </c>
      <c r="J77" s="979">
        <v>-207461</v>
      </c>
      <c r="K77" s="979">
        <v>-154427</v>
      </c>
      <c r="L77" s="979">
        <v>-124184</v>
      </c>
      <c r="M77" s="979">
        <v>-138003</v>
      </c>
      <c r="N77" s="979">
        <v>-167724</v>
      </c>
      <c r="O77" s="979">
        <v>-238998</v>
      </c>
      <c r="P77" s="979">
        <v>-130576</v>
      </c>
      <c r="Q77" s="979">
        <v>-20223</v>
      </c>
      <c r="R77" s="982">
        <v>-147330</v>
      </c>
    </row>
    <row r="78" spans="1:18" x14ac:dyDescent="0.25">
      <c r="A78" s="439" t="str">
        <f t="shared" si="1"/>
        <v>131121000_400</v>
      </c>
      <c r="B78" s="1007" t="s">
        <v>1183</v>
      </c>
      <c r="C78" s="796" t="s">
        <v>1026</v>
      </c>
      <c r="D78" s="794" t="s">
        <v>1171</v>
      </c>
      <c r="E78" s="794" t="s">
        <v>1116</v>
      </c>
      <c r="F78" s="979">
        <v>-12969.965</v>
      </c>
      <c r="G78" s="979"/>
      <c r="H78" s="979"/>
      <c r="I78" s="979"/>
      <c r="J78" s="979"/>
      <c r="K78" s="979"/>
      <c r="L78" s="979"/>
      <c r="M78" s="979"/>
      <c r="N78" s="979"/>
      <c r="O78" s="979"/>
      <c r="P78" s="979"/>
      <c r="Q78" s="979"/>
      <c r="R78" s="982"/>
    </row>
    <row r="79" spans="1:18" x14ac:dyDescent="0.25">
      <c r="A79" s="439" t="str">
        <f t="shared" si="1"/>
        <v>131121000_Result</v>
      </c>
      <c r="B79" s="1007" t="s">
        <v>1183</v>
      </c>
      <c r="C79" s="796" t="s">
        <v>1026</v>
      </c>
      <c r="D79" s="824" t="s">
        <v>1129</v>
      </c>
      <c r="E79" s="822"/>
      <c r="F79" s="980">
        <v>2912437</v>
      </c>
      <c r="G79" s="980">
        <v>-391587</v>
      </c>
      <c r="H79" s="980">
        <v>-59676</v>
      </c>
      <c r="I79" s="980">
        <v>-222085</v>
      </c>
      <c r="J79" s="980">
        <v>-207461</v>
      </c>
      <c r="K79" s="980">
        <v>-154427</v>
      </c>
      <c r="L79" s="980">
        <v>-124184</v>
      </c>
      <c r="M79" s="980">
        <v>-138003</v>
      </c>
      <c r="N79" s="980">
        <v>-167724</v>
      </c>
      <c r="O79" s="980">
        <v>-238998</v>
      </c>
      <c r="P79" s="980">
        <v>-130576</v>
      </c>
      <c r="Q79" s="980">
        <v>-20223</v>
      </c>
      <c r="R79" s="983">
        <v>-147330</v>
      </c>
    </row>
    <row r="80" spans="1:18" x14ac:dyDescent="0.25">
      <c r="A80" s="439" t="str">
        <f t="shared" si="1"/>
        <v>131121100_300</v>
      </c>
      <c r="B80" s="1008" t="s">
        <v>1184</v>
      </c>
      <c r="C80" s="797" t="s">
        <v>1185</v>
      </c>
      <c r="D80" s="794" t="s">
        <v>1167</v>
      </c>
      <c r="E80" s="794" t="s">
        <v>1116</v>
      </c>
      <c r="F80" s="979">
        <v>2801588.7409999999</v>
      </c>
      <c r="G80" s="979">
        <v>0</v>
      </c>
      <c r="H80" s="979"/>
      <c r="I80" s="979"/>
      <c r="J80" s="979"/>
      <c r="K80" s="979"/>
      <c r="L80" s="979"/>
      <c r="M80" s="979"/>
      <c r="N80" s="979"/>
      <c r="O80" s="979"/>
      <c r="P80" s="979"/>
      <c r="Q80" s="979"/>
      <c r="R80" s="982"/>
    </row>
    <row r="81" spans="1:18" x14ac:dyDescent="0.25">
      <c r="A81" s="439" t="str">
        <f t="shared" si="1"/>
        <v>131121100_310</v>
      </c>
      <c r="B81" s="1008" t="s">
        <v>1184</v>
      </c>
      <c r="C81" s="797" t="s">
        <v>1185</v>
      </c>
      <c r="D81" s="794" t="s">
        <v>1168</v>
      </c>
      <c r="E81" s="794" t="s">
        <v>1169</v>
      </c>
      <c r="F81" s="979"/>
      <c r="G81" s="979">
        <v>-267768.77600000001</v>
      </c>
      <c r="H81" s="979">
        <v>-59676</v>
      </c>
      <c r="I81" s="979">
        <v>-222085</v>
      </c>
      <c r="J81" s="979">
        <v>-207461</v>
      </c>
      <c r="K81" s="979">
        <v>-154427</v>
      </c>
      <c r="L81" s="979">
        <v>-124184</v>
      </c>
      <c r="M81" s="979">
        <v>-138003</v>
      </c>
      <c r="N81" s="979">
        <v>-167724</v>
      </c>
      <c r="O81" s="979">
        <v>-238998</v>
      </c>
      <c r="P81" s="979">
        <v>-130576</v>
      </c>
      <c r="Q81" s="979">
        <v>-20223</v>
      </c>
      <c r="R81" s="982">
        <v>-147330</v>
      </c>
    </row>
    <row r="82" spans="1:18" x14ac:dyDescent="0.25">
      <c r="A82" s="439" t="str">
        <f t="shared" si="1"/>
        <v>131121100_400</v>
      </c>
      <c r="B82" s="1008" t="s">
        <v>1184</v>
      </c>
      <c r="C82" s="797" t="s">
        <v>1185</v>
      </c>
      <c r="D82" s="794" t="s">
        <v>1171</v>
      </c>
      <c r="E82" s="794" t="s">
        <v>1116</v>
      </c>
      <c r="F82" s="979">
        <v>-12969.965</v>
      </c>
      <c r="G82" s="979"/>
      <c r="H82" s="979"/>
      <c r="I82" s="979"/>
      <c r="J82" s="979"/>
      <c r="K82" s="979"/>
      <c r="L82" s="979"/>
      <c r="M82" s="979"/>
      <c r="N82" s="979"/>
      <c r="O82" s="979"/>
      <c r="P82" s="979"/>
      <c r="Q82" s="979"/>
      <c r="R82" s="982"/>
    </row>
    <row r="83" spans="1:18" x14ac:dyDescent="0.25">
      <c r="A83" s="439" t="str">
        <f t="shared" si="1"/>
        <v>131121100_Result</v>
      </c>
      <c r="B83" s="1008" t="s">
        <v>1184</v>
      </c>
      <c r="C83" s="797" t="s">
        <v>1185</v>
      </c>
      <c r="D83" s="824" t="s">
        <v>1129</v>
      </c>
      <c r="E83" s="822"/>
      <c r="F83" s="980">
        <v>2788618.7760000001</v>
      </c>
      <c r="G83" s="980">
        <v>-267768.77600000001</v>
      </c>
      <c r="H83" s="980">
        <v>-59676</v>
      </c>
      <c r="I83" s="980">
        <v>-222085</v>
      </c>
      <c r="J83" s="980">
        <v>-207461</v>
      </c>
      <c r="K83" s="980">
        <v>-154427</v>
      </c>
      <c r="L83" s="980">
        <v>-124184</v>
      </c>
      <c r="M83" s="980">
        <v>-138003</v>
      </c>
      <c r="N83" s="980">
        <v>-167724</v>
      </c>
      <c r="O83" s="980">
        <v>-238998</v>
      </c>
      <c r="P83" s="980">
        <v>-130576</v>
      </c>
      <c r="Q83" s="980">
        <v>-20223</v>
      </c>
      <c r="R83" s="983">
        <v>-147330</v>
      </c>
    </row>
    <row r="84" spans="1:18" x14ac:dyDescent="0.25">
      <c r="A84" s="439" t="str">
        <f t="shared" si="1"/>
        <v>131121300_300</v>
      </c>
      <c r="B84" s="1008" t="s">
        <v>1186</v>
      </c>
      <c r="C84" s="797" t="s">
        <v>1187</v>
      </c>
      <c r="D84" s="794" t="s">
        <v>1167</v>
      </c>
      <c r="E84" s="794" t="s">
        <v>1116</v>
      </c>
      <c r="F84" s="979">
        <v>123818.224</v>
      </c>
      <c r="G84" s="979"/>
      <c r="H84" s="979"/>
      <c r="I84" s="979"/>
      <c r="J84" s="979"/>
      <c r="K84" s="979"/>
      <c r="L84" s="979"/>
      <c r="M84" s="979"/>
      <c r="N84" s="979"/>
      <c r="O84" s="979"/>
      <c r="P84" s="979"/>
      <c r="Q84" s="979"/>
      <c r="R84" s="982"/>
    </row>
    <row r="85" spans="1:18" x14ac:dyDescent="0.25">
      <c r="A85" s="439" t="str">
        <f t="shared" si="1"/>
        <v>131121300_310</v>
      </c>
      <c r="B85" s="1008" t="s">
        <v>1186</v>
      </c>
      <c r="C85" s="797" t="s">
        <v>1187</v>
      </c>
      <c r="D85" s="794" t="s">
        <v>1168</v>
      </c>
      <c r="E85" s="794" t="s">
        <v>1169</v>
      </c>
      <c r="F85" s="979"/>
      <c r="G85" s="979">
        <v>-123818.224</v>
      </c>
      <c r="H85" s="979"/>
      <c r="I85" s="979"/>
      <c r="J85" s="979"/>
      <c r="K85" s="979"/>
      <c r="L85" s="979"/>
      <c r="M85" s="979"/>
      <c r="N85" s="979"/>
      <c r="O85" s="979"/>
      <c r="P85" s="979"/>
      <c r="Q85" s="979"/>
      <c r="R85" s="982"/>
    </row>
    <row r="86" spans="1:18" x14ac:dyDescent="0.25">
      <c r="A86" s="439" t="str">
        <f t="shared" si="1"/>
        <v>131121300_Result</v>
      </c>
      <c r="B86" s="1008" t="s">
        <v>1186</v>
      </c>
      <c r="C86" s="797" t="s">
        <v>1187</v>
      </c>
      <c r="D86" s="824" t="s">
        <v>1129</v>
      </c>
      <c r="E86" s="822"/>
      <c r="F86" s="980">
        <v>123818.224</v>
      </c>
      <c r="G86" s="980">
        <v>-123818.224</v>
      </c>
      <c r="H86" s="980"/>
      <c r="I86" s="980"/>
      <c r="J86" s="980"/>
      <c r="K86" s="980"/>
      <c r="L86" s="980"/>
      <c r="M86" s="980"/>
      <c r="N86" s="980"/>
      <c r="O86" s="980"/>
      <c r="P86" s="980"/>
      <c r="Q86" s="980"/>
      <c r="R86" s="983"/>
    </row>
    <row r="87" spans="1:18" x14ac:dyDescent="0.25">
      <c r="A87" s="439" t="str">
        <f t="shared" si="1"/>
        <v>131600000_300</v>
      </c>
      <c r="B87" s="1005" t="s">
        <v>1188</v>
      </c>
      <c r="C87" s="795" t="s">
        <v>1028</v>
      </c>
      <c r="D87" s="794" t="s">
        <v>1167</v>
      </c>
      <c r="E87" s="794" t="s">
        <v>1116</v>
      </c>
      <c r="F87" s="979">
        <v>3735712.9440000001</v>
      </c>
      <c r="G87" s="979">
        <v>0</v>
      </c>
      <c r="H87" s="979"/>
      <c r="I87" s="979"/>
      <c r="J87" s="979"/>
      <c r="K87" s="979"/>
      <c r="L87" s="979"/>
      <c r="M87" s="979"/>
      <c r="N87" s="979"/>
      <c r="O87" s="979"/>
      <c r="P87" s="979"/>
      <c r="Q87" s="979"/>
      <c r="R87" s="982"/>
    </row>
    <row r="88" spans="1:18" x14ac:dyDescent="0.25">
      <c r="A88" s="439" t="str">
        <f t="shared" si="1"/>
        <v>131600000_310</v>
      </c>
      <c r="B88" s="1005" t="s">
        <v>1188</v>
      </c>
      <c r="C88" s="795" t="s">
        <v>1028</v>
      </c>
      <c r="D88" s="794" t="s">
        <v>1168</v>
      </c>
      <c r="E88" s="794" t="s">
        <v>1169</v>
      </c>
      <c r="F88" s="979"/>
      <c r="G88" s="979">
        <v>30759.885999999999</v>
      </c>
      <c r="H88" s="979">
        <v>-12194.109</v>
      </c>
      <c r="I88" s="979">
        <v>133945.685</v>
      </c>
      <c r="J88" s="979">
        <v>-222303.902</v>
      </c>
      <c r="K88" s="979">
        <v>-16923.492999999999</v>
      </c>
      <c r="L88" s="979">
        <v>-72940.084000000003</v>
      </c>
      <c r="M88" s="979">
        <v>59681.976999999999</v>
      </c>
      <c r="N88" s="979">
        <v>-18778.973000000002</v>
      </c>
      <c r="O88" s="979">
        <v>-153395.821</v>
      </c>
      <c r="P88" s="979">
        <v>110403.837</v>
      </c>
      <c r="Q88" s="979">
        <v>66950.293999999994</v>
      </c>
      <c r="R88" s="982">
        <v>-249256.554</v>
      </c>
    </row>
    <row r="89" spans="1:18" x14ac:dyDescent="0.25">
      <c r="A89" s="439" t="str">
        <f t="shared" si="1"/>
        <v>131600000_400</v>
      </c>
      <c r="B89" s="1005" t="s">
        <v>1188</v>
      </c>
      <c r="C89" s="795" t="s">
        <v>1028</v>
      </c>
      <c r="D89" s="794" t="s">
        <v>1171</v>
      </c>
      <c r="E89" s="794" t="s">
        <v>1116</v>
      </c>
      <c r="F89" s="979">
        <v>-5955.5460000000003</v>
      </c>
      <c r="G89" s="979">
        <v>0</v>
      </c>
      <c r="H89" s="979"/>
      <c r="I89" s="979"/>
      <c r="J89" s="979"/>
      <c r="K89" s="979"/>
      <c r="L89" s="979"/>
      <c r="M89" s="979"/>
      <c r="N89" s="979"/>
      <c r="O89" s="979"/>
      <c r="P89" s="979"/>
      <c r="Q89" s="979"/>
      <c r="R89" s="982"/>
    </row>
    <row r="90" spans="1:18" x14ac:dyDescent="0.25">
      <c r="A90" s="439" t="str">
        <f t="shared" si="1"/>
        <v>131600000_410</v>
      </c>
      <c r="B90" s="1005" t="s">
        <v>1188</v>
      </c>
      <c r="C90" s="795" t="s">
        <v>1028</v>
      </c>
      <c r="D90" s="794" t="s">
        <v>1172</v>
      </c>
      <c r="E90" s="794" t="s">
        <v>1173</v>
      </c>
      <c r="F90" s="979"/>
      <c r="G90" s="979">
        <v>3971.8609999999999</v>
      </c>
      <c r="H90" s="979"/>
      <c r="I90" s="979"/>
      <c r="J90" s="979"/>
      <c r="K90" s="979"/>
      <c r="L90" s="979"/>
      <c r="M90" s="979"/>
      <c r="N90" s="979"/>
      <c r="O90" s="979"/>
      <c r="P90" s="979"/>
      <c r="Q90" s="979"/>
      <c r="R90" s="982"/>
    </row>
    <row r="91" spans="1:18" x14ac:dyDescent="0.25">
      <c r="A91" s="439" t="str">
        <f t="shared" si="1"/>
        <v>131600000_Result</v>
      </c>
      <c r="B91" s="1005" t="s">
        <v>1188</v>
      </c>
      <c r="C91" s="795" t="s">
        <v>1028</v>
      </c>
      <c r="D91" s="824" t="s">
        <v>1129</v>
      </c>
      <c r="E91" s="822"/>
      <c r="F91" s="980">
        <v>3729757.398</v>
      </c>
      <c r="G91" s="980">
        <v>34731.747000000003</v>
      </c>
      <c r="H91" s="980">
        <v>-12194.109</v>
      </c>
      <c r="I91" s="980">
        <v>133945.685</v>
      </c>
      <c r="J91" s="980">
        <v>-222303.902</v>
      </c>
      <c r="K91" s="980">
        <v>-16923.492999999999</v>
      </c>
      <c r="L91" s="980">
        <v>-72940.084000000003</v>
      </c>
      <c r="M91" s="980">
        <v>59681.976999999999</v>
      </c>
      <c r="N91" s="980">
        <v>-18778.973000000002</v>
      </c>
      <c r="O91" s="980">
        <v>-153395.821</v>
      </c>
      <c r="P91" s="980">
        <v>110403.837</v>
      </c>
      <c r="Q91" s="980">
        <v>66950.293999999994</v>
      </c>
      <c r="R91" s="983">
        <v>-249256.554</v>
      </c>
    </row>
    <row r="92" spans="1:18" x14ac:dyDescent="0.25">
      <c r="A92" s="439" t="str">
        <f t="shared" si="1"/>
        <v>131611000_300</v>
      </c>
      <c r="B92" s="1007" t="s">
        <v>1193</v>
      </c>
      <c r="C92" s="796" t="s">
        <v>1194</v>
      </c>
      <c r="D92" s="794" t="s">
        <v>1167</v>
      </c>
      <c r="E92" s="794" t="s">
        <v>1116</v>
      </c>
      <c r="F92" s="979">
        <v>3735712.9440000001</v>
      </c>
      <c r="G92" s="979">
        <v>0</v>
      </c>
      <c r="H92" s="979"/>
      <c r="I92" s="979"/>
      <c r="J92" s="979"/>
      <c r="K92" s="979"/>
      <c r="L92" s="979"/>
      <c r="M92" s="979"/>
      <c r="N92" s="979"/>
      <c r="O92" s="979"/>
      <c r="P92" s="979"/>
      <c r="Q92" s="979"/>
      <c r="R92" s="982"/>
    </row>
    <row r="93" spans="1:18" x14ac:dyDescent="0.25">
      <c r="A93" s="439" t="str">
        <f t="shared" si="1"/>
        <v>131611000_310</v>
      </c>
      <c r="B93" s="1007" t="s">
        <v>1193</v>
      </c>
      <c r="C93" s="796" t="s">
        <v>1194</v>
      </c>
      <c r="D93" s="794" t="s">
        <v>1168</v>
      </c>
      <c r="E93" s="794" t="s">
        <v>1169</v>
      </c>
      <c r="F93" s="979"/>
      <c r="G93" s="979">
        <v>30759.885999999999</v>
      </c>
      <c r="H93" s="979">
        <v>-12194.109</v>
      </c>
      <c r="I93" s="979">
        <v>133945.685</v>
      </c>
      <c r="J93" s="979">
        <v>-222303.902</v>
      </c>
      <c r="K93" s="979">
        <v>-16923.492999999999</v>
      </c>
      <c r="L93" s="979">
        <v>-72940.084000000003</v>
      </c>
      <c r="M93" s="979">
        <v>59681.976999999999</v>
      </c>
      <c r="N93" s="979">
        <v>-18778.973000000002</v>
      </c>
      <c r="O93" s="979">
        <v>-153395.821</v>
      </c>
      <c r="P93" s="979">
        <v>110403.837</v>
      </c>
      <c r="Q93" s="979">
        <v>66950.293999999994</v>
      </c>
      <c r="R93" s="982">
        <v>-249256.554</v>
      </c>
    </row>
    <row r="94" spans="1:18" x14ac:dyDescent="0.25">
      <c r="A94" s="439" t="str">
        <f t="shared" si="1"/>
        <v>131611000_400</v>
      </c>
      <c r="B94" s="1007" t="s">
        <v>1193</v>
      </c>
      <c r="C94" s="796" t="s">
        <v>1194</v>
      </c>
      <c r="D94" s="794" t="s">
        <v>1171</v>
      </c>
      <c r="E94" s="794" t="s">
        <v>1116</v>
      </c>
      <c r="F94" s="979">
        <v>-5955.5460000000003</v>
      </c>
      <c r="G94" s="979">
        <v>0</v>
      </c>
      <c r="H94" s="979"/>
      <c r="I94" s="979"/>
      <c r="J94" s="979"/>
      <c r="K94" s="979"/>
      <c r="L94" s="979"/>
      <c r="M94" s="979"/>
      <c r="N94" s="979"/>
      <c r="O94" s="979"/>
      <c r="P94" s="979"/>
      <c r="Q94" s="979"/>
      <c r="R94" s="982"/>
    </row>
    <row r="95" spans="1:18" x14ac:dyDescent="0.25">
      <c r="A95" s="439" t="str">
        <f t="shared" si="1"/>
        <v>131611000_410</v>
      </c>
      <c r="B95" s="1007" t="s">
        <v>1193</v>
      </c>
      <c r="C95" s="796" t="s">
        <v>1194</v>
      </c>
      <c r="D95" s="794" t="s">
        <v>1172</v>
      </c>
      <c r="E95" s="794" t="s">
        <v>1173</v>
      </c>
      <c r="F95" s="979"/>
      <c r="G95" s="979">
        <v>3971.8609999999999</v>
      </c>
      <c r="H95" s="979"/>
      <c r="I95" s="979"/>
      <c r="J95" s="979"/>
      <c r="K95" s="979"/>
      <c r="L95" s="979"/>
      <c r="M95" s="979"/>
      <c r="N95" s="979"/>
      <c r="O95" s="979"/>
      <c r="P95" s="979"/>
      <c r="Q95" s="979"/>
      <c r="R95" s="982"/>
    </row>
    <row r="96" spans="1:18" x14ac:dyDescent="0.25">
      <c r="A96" s="439" t="str">
        <f t="shared" si="1"/>
        <v>131611000_Result</v>
      </c>
      <c r="B96" s="1007" t="s">
        <v>1193</v>
      </c>
      <c r="C96" s="796" t="s">
        <v>1194</v>
      </c>
      <c r="D96" s="824" t="s">
        <v>1129</v>
      </c>
      <c r="E96" s="822"/>
      <c r="F96" s="980">
        <v>3729757.398</v>
      </c>
      <c r="G96" s="980">
        <v>34731.747000000003</v>
      </c>
      <c r="H96" s="980">
        <v>-12194.109</v>
      </c>
      <c r="I96" s="980">
        <v>133945.685</v>
      </c>
      <c r="J96" s="980">
        <v>-222303.902</v>
      </c>
      <c r="K96" s="980">
        <v>-16923.492999999999</v>
      </c>
      <c r="L96" s="980">
        <v>-72940.084000000003</v>
      </c>
      <c r="M96" s="980">
        <v>59681.976999999999</v>
      </c>
      <c r="N96" s="980">
        <v>-18778.973000000002</v>
      </c>
      <c r="O96" s="980">
        <v>-153395.821</v>
      </c>
      <c r="P96" s="980">
        <v>110403.837</v>
      </c>
      <c r="Q96" s="980">
        <v>66950.293999999994</v>
      </c>
      <c r="R96" s="983">
        <v>-249256.554</v>
      </c>
    </row>
    <row r="97" spans="1:18" x14ac:dyDescent="0.25">
      <c r="A97" s="439" t="str">
        <f t="shared" si="1"/>
        <v>131611110_300</v>
      </c>
      <c r="B97" s="1008" t="s">
        <v>1195</v>
      </c>
      <c r="C97" s="797" t="s">
        <v>1194</v>
      </c>
      <c r="D97" s="794" t="s">
        <v>1167</v>
      </c>
      <c r="E97" s="794" t="s">
        <v>1116</v>
      </c>
      <c r="F97" s="979">
        <v>3728194.3</v>
      </c>
      <c r="G97" s="979"/>
      <c r="H97" s="979"/>
      <c r="I97" s="979"/>
      <c r="J97" s="979"/>
      <c r="K97" s="979"/>
      <c r="L97" s="979"/>
      <c r="M97" s="979"/>
      <c r="N97" s="979"/>
      <c r="O97" s="979"/>
      <c r="P97" s="979"/>
      <c r="Q97" s="979"/>
      <c r="R97" s="982"/>
    </row>
    <row r="98" spans="1:18" x14ac:dyDescent="0.25">
      <c r="A98" s="439" t="str">
        <f t="shared" si="1"/>
        <v>131611110_310</v>
      </c>
      <c r="B98" s="1008" t="s">
        <v>1195</v>
      </c>
      <c r="C98" s="797" t="s">
        <v>1194</v>
      </c>
      <c r="D98" s="794" t="s">
        <v>1168</v>
      </c>
      <c r="E98" s="794" t="s">
        <v>1169</v>
      </c>
      <c r="F98" s="979"/>
      <c r="G98" s="979">
        <v>38278.521000000001</v>
      </c>
      <c r="H98" s="979">
        <v>-12194.109</v>
      </c>
      <c r="I98" s="979">
        <v>133945.685</v>
      </c>
      <c r="J98" s="979">
        <v>-222303.902</v>
      </c>
      <c r="K98" s="979">
        <v>-16923.492999999999</v>
      </c>
      <c r="L98" s="979">
        <v>-72940.084000000003</v>
      </c>
      <c r="M98" s="979">
        <v>59681.976999999999</v>
      </c>
      <c r="N98" s="979">
        <v>-18778.973000000002</v>
      </c>
      <c r="O98" s="979">
        <v>-153395.821</v>
      </c>
      <c r="P98" s="979">
        <v>110403.837</v>
      </c>
      <c r="Q98" s="979">
        <v>66950.293999999994</v>
      </c>
      <c r="R98" s="982">
        <v>-249256.554</v>
      </c>
    </row>
    <row r="99" spans="1:18" x14ac:dyDescent="0.25">
      <c r="A99" s="439" t="str">
        <f t="shared" si="1"/>
        <v>131611110_400</v>
      </c>
      <c r="B99" s="1008" t="s">
        <v>1195</v>
      </c>
      <c r="C99" s="797" t="s">
        <v>1194</v>
      </c>
      <c r="D99" s="794" t="s">
        <v>1171</v>
      </c>
      <c r="E99" s="794" t="s">
        <v>1116</v>
      </c>
      <c r="F99" s="979">
        <v>-1983.6759999999999</v>
      </c>
      <c r="G99" s="979"/>
      <c r="H99" s="979"/>
      <c r="I99" s="979"/>
      <c r="J99" s="979"/>
      <c r="K99" s="979"/>
      <c r="L99" s="979"/>
      <c r="M99" s="979"/>
      <c r="N99" s="979"/>
      <c r="O99" s="979"/>
      <c r="P99" s="979"/>
      <c r="Q99" s="979"/>
      <c r="R99" s="982"/>
    </row>
    <row r="100" spans="1:18" x14ac:dyDescent="0.25">
      <c r="A100" s="439" t="str">
        <f t="shared" si="1"/>
        <v>131611110_Result</v>
      </c>
      <c r="B100" s="1008" t="s">
        <v>1195</v>
      </c>
      <c r="C100" s="797" t="s">
        <v>1194</v>
      </c>
      <c r="D100" s="824" t="s">
        <v>1129</v>
      </c>
      <c r="E100" s="822"/>
      <c r="F100" s="980">
        <v>3726210.6239999998</v>
      </c>
      <c r="G100" s="980">
        <v>38278.521000000001</v>
      </c>
      <c r="H100" s="980">
        <v>-12194.109</v>
      </c>
      <c r="I100" s="980">
        <v>133945.685</v>
      </c>
      <c r="J100" s="980">
        <v>-222303.902</v>
      </c>
      <c r="K100" s="980">
        <v>-16923.492999999999</v>
      </c>
      <c r="L100" s="980">
        <v>-72940.084000000003</v>
      </c>
      <c r="M100" s="980">
        <v>59681.976999999999</v>
      </c>
      <c r="N100" s="980">
        <v>-18778.973000000002</v>
      </c>
      <c r="O100" s="980">
        <v>-153395.821</v>
      </c>
      <c r="P100" s="980">
        <v>110403.837</v>
      </c>
      <c r="Q100" s="980">
        <v>66950.293999999994</v>
      </c>
      <c r="R100" s="983">
        <v>-249256.554</v>
      </c>
    </row>
    <row r="101" spans="1:18" x14ac:dyDescent="0.25">
      <c r="A101" s="439" t="str">
        <f t="shared" si="1"/>
        <v>131611500_300</v>
      </c>
      <c r="B101" s="1008" t="s">
        <v>1196</v>
      </c>
      <c r="C101" s="797" t="s">
        <v>1197</v>
      </c>
      <c r="D101" s="794" t="s">
        <v>1167</v>
      </c>
      <c r="E101" s="794" t="s">
        <v>1116</v>
      </c>
      <c r="F101" s="979">
        <v>8.9999999999999993E-3</v>
      </c>
      <c r="G101" s="979">
        <v>0</v>
      </c>
      <c r="H101" s="979"/>
      <c r="I101" s="979"/>
      <c r="J101" s="979"/>
      <c r="K101" s="979"/>
      <c r="L101" s="979"/>
      <c r="M101" s="979"/>
      <c r="N101" s="979"/>
      <c r="O101" s="979"/>
      <c r="P101" s="979"/>
      <c r="Q101" s="979"/>
      <c r="R101" s="982"/>
    </row>
    <row r="102" spans="1:18" x14ac:dyDescent="0.25">
      <c r="A102" s="439" t="str">
        <f t="shared" si="1"/>
        <v>131611500_400</v>
      </c>
      <c r="B102" s="1008" t="s">
        <v>1196</v>
      </c>
      <c r="C102" s="797" t="s">
        <v>1197</v>
      </c>
      <c r="D102" s="794" t="s">
        <v>1171</v>
      </c>
      <c r="E102" s="794" t="s">
        <v>1116</v>
      </c>
      <c r="F102" s="979">
        <v>-8.9999999999999993E-3</v>
      </c>
      <c r="G102" s="979">
        <v>0</v>
      </c>
      <c r="H102" s="979"/>
      <c r="I102" s="979"/>
      <c r="J102" s="979"/>
      <c r="K102" s="979"/>
      <c r="L102" s="979"/>
      <c r="M102" s="979"/>
      <c r="N102" s="979"/>
      <c r="O102" s="979"/>
      <c r="P102" s="979"/>
      <c r="Q102" s="979"/>
      <c r="R102" s="982"/>
    </row>
    <row r="103" spans="1:18" x14ac:dyDescent="0.25">
      <c r="A103" s="439" t="str">
        <f t="shared" si="1"/>
        <v>131611500_Result</v>
      </c>
      <c r="B103" s="1008" t="s">
        <v>1196</v>
      </c>
      <c r="C103" s="797" t="s">
        <v>1197</v>
      </c>
      <c r="D103" s="824" t="s">
        <v>1129</v>
      </c>
      <c r="E103" s="822"/>
      <c r="F103" s="980">
        <v>0</v>
      </c>
      <c r="G103" s="980">
        <v>0</v>
      </c>
      <c r="H103" s="980"/>
      <c r="I103" s="980"/>
      <c r="J103" s="980"/>
      <c r="K103" s="980"/>
      <c r="L103" s="980"/>
      <c r="M103" s="980"/>
      <c r="N103" s="980"/>
      <c r="O103" s="980"/>
      <c r="P103" s="980"/>
      <c r="Q103" s="980"/>
      <c r="R103" s="983"/>
    </row>
    <row r="104" spans="1:18" x14ac:dyDescent="0.25">
      <c r="A104" s="439" t="str">
        <f t="shared" si="1"/>
        <v>131611900_300</v>
      </c>
      <c r="B104" s="1008" t="s">
        <v>1198</v>
      </c>
      <c r="C104" s="797" t="s">
        <v>1199</v>
      </c>
      <c r="D104" s="794" t="s">
        <v>1167</v>
      </c>
      <c r="E104" s="794" t="s">
        <v>1116</v>
      </c>
      <c r="F104" s="979">
        <v>7518.6350000000002</v>
      </c>
      <c r="G104" s="979">
        <v>0</v>
      </c>
      <c r="H104" s="979"/>
      <c r="I104" s="979"/>
      <c r="J104" s="979"/>
      <c r="K104" s="979"/>
      <c r="L104" s="979"/>
      <c r="M104" s="979"/>
      <c r="N104" s="979"/>
      <c r="O104" s="979"/>
      <c r="P104" s="979"/>
      <c r="Q104" s="979"/>
      <c r="R104" s="982"/>
    </row>
    <row r="105" spans="1:18" x14ac:dyDescent="0.25">
      <c r="A105" s="439" t="str">
        <f t="shared" si="1"/>
        <v>131611900_310</v>
      </c>
      <c r="B105" s="1008" t="s">
        <v>1198</v>
      </c>
      <c r="C105" s="797" t="s">
        <v>1199</v>
      </c>
      <c r="D105" s="794" t="s">
        <v>1168</v>
      </c>
      <c r="E105" s="794" t="s">
        <v>1169</v>
      </c>
      <c r="F105" s="979"/>
      <c r="G105" s="979">
        <v>-7518.6350000000002</v>
      </c>
      <c r="H105" s="979"/>
      <c r="I105" s="979"/>
      <c r="J105" s="979"/>
      <c r="K105" s="979"/>
      <c r="L105" s="979"/>
      <c r="M105" s="979"/>
      <c r="N105" s="979"/>
      <c r="O105" s="979"/>
      <c r="P105" s="979"/>
      <c r="Q105" s="979"/>
      <c r="R105" s="982"/>
    </row>
    <row r="106" spans="1:18" x14ac:dyDescent="0.25">
      <c r="A106" s="439" t="str">
        <f t="shared" si="1"/>
        <v>131611900_400</v>
      </c>
      <c r="B106" s="1008" t="s">
        <v>1198</v>
      </c>
      <c r="C106" s="797" t="s">
        <v>1199</v>
      </c>
      <c r="D106" s="794" t="s">
        <v>1171</v>
      </c>
      <c r="E106" s="794" t="s">
        <v>1116</v>
      </c>
      <c r="F106" s="979">
        <v>-3971.8609999999999</v>
      </c>
      <c r="G106" s="979"/>
      <c r="H106" s="979"/>
      <c r="I106" s="979"/>
      <c r="J106" s="979"/>
      <c r="K106" s="979"/>
      <c r="L106" s="979"/>
      <c r="M106" s="979"/>
      <c r="N106" s="979"/>
      <c r="O106" s="979"/>
      <c r="P106" s="979"/>
      <c r="Q106" s="979"/>
      <c r="R106" s="982"/>
    </row>
    <row r="107" spans="1:18" x14ac:dyDescent="0.25">
      <c r="A107" s="439" t="str">
        <f t="shared" si="1"/>
        <v>131611900_410</v>
      </c>
      <c r="B107" s="1008" t="s">
        <v>1198</v>
      </c>
      <c r="C107" s="797" t="s">
        <v>1199</v>
      </c>
      <c r="D107" s="794" t="s">
        <v>1172</v>
      </c>
      <c r="E107" s="794" t="s">
        <v>1173</v>
      </c>
      <c r="F107" s="979"/>
      <c r="G107" s="979">
        <v>3971.8609999999999</v>
      </c>
      <c r="H107" s="979"/>
      <c r="I107" s="979"/>
      <c r="J107" s="979"/>
      <c r="K107" s="979"/>
      <c r="L107" s="979"/>
      <c r="M107" s="979"/>
      <c r="N107" s="979"/>
      <c r="O107" s="979"/>
      <c r="P107" s="979"/>
      <c r="Q107" s="979"/>
      <c r="R107" s="982"/>
    </row>
    <row r="108" spans="1:18" x14ac:dyDescent="0.25">
      <c r="A108" s="439" t="str">
        <f t="shared" si="1"/>
        <v>131611900_Result</v>
      </c>
      <c r="B108" s="1008" t="s">
        <v>1198</v>
      </c>
      <c r="C108" s="797" t="s">
        <v>1199</v>
      </c>
      <c r="D108" s="824" t="s">
        <v>1129</v>
      </c>
      <c r="E108" s="822"/>
      <c r="F108" s="980">
        <v>3546.7739999999999</v>
      </c>
      <c r="G108" s="980">
        <v>-3546.7739999999999</v>
      </c>
      <c r="H108" s="980"/>
      <c r="I108" s="980"/>
      <c r="J108" s="980"/>
      <c r="K108" s="980"/>
      <c r="L108" s="980"/>
      <c r="M108" s="980"/>
      <c r="N108" s="980"/>
      <c r="O108" s="980"/>
      <c r="P108" s="980"/>
      <c r="Q108" s="980"/>
      <c r="R108" s="983"/>
    </row>
    <row r="109" spans="1:18" x14ac:dyDescent="0.25">
      <c r="A109" s="439" t="str">
        <f t="shared" si="1"/>
        <v>231100000_700</v>
      </c>
      <c r="B109" s="1005" t="s">
        <v>1200</v>
      </c>
      <c r="C109" s="795" t="s">
        <v>1201</v>
      </c>
      <c r="D109" s="794" t="s">
        <v>1202</v>
      </c>
      <c r="E109" s="794" t="s">
        <v>1116</v>
      </c>
      <c r="F109" s="979">
        <v>1797179.662</v>
      </c>
      <c r="G109" s="979">
        <v>0</v>
      </c>
      <c r="H109" s="979"/>
      <c r="I109" s="979"/>
      <c r="J109" s="979"/>
      <c r="K109" s="979"/>
      <c r="L109" s="979"/>
      <c r="M109" s="979"/>
      <c r="N109" s="979"/>
      <c r="O109" s="979"/>
      <c r="P109" s="979"/>
      <c r="Q109" s="979"/>
      <c r="R109" s="982"/>
    </row>
    <row r="110" spans="1:18" x14ac:dyDescent="0.25">
      <c r="A110" s="439" t="str">
        <f t="shared" si="1"/>
        <v>231100000_710</v>
      </c>
      <c r="B110" s="1005" t="s">
        <v>1200</v>
      </c>
      <c r="C110" s="795" t="s">
        <v>1201</v>
      </c>
      <c r="D110" s="794" t="s">
        <v>1203</v>
      </c>
      <c r="E110" s="794" t="s">
        <v>1169</v>
      </c>
      <c r="F110" s="979"/>
      <c r="G110" s="979">
        <v>286649.57299999997</v>
      </c>
      <c r="H110" s="979">
        <v>171421.42499999999</v>
      </c>
      <c r="I110" s="979">
        <v>337339.60700000002</v>
      </c>
      <c r="J110" s="979">
        <v>108377.923</v>
      </c>
      <c r="K110" s="979">
        <v>-30846.870999999999</v>
      </c>
      <c r="L110" s="979">
        <v>-19693.329000000002</v>
      </c>
      <c r="M110" s="979">
        <v>15870.62</v>
      </c>
      <c r="N110" s="979">
        <v>320869.78999999998</v>
      </c>
      <c r="O110" s="979">
        <v>50367.544000000002</v>
      </c>
      <c r="P110" s="979">
        <v>39391.961000000003</v>
      </c>
      <c r="Q110" s="979">
        <v>-61251.809000000001</v>
      </c>
      <c r="R110" s="982">
        <v>-435751.28200000001</v>
      </c>
    </row>
    <row r="111" spans="1:18" x14ac:dyDescent="0.25">
      <c r="A111" s="439" t="str">
        <f t="shared" si="1"/>
        <v>231100000_Result</v>
      </c>
      <c r="B111" s="1005" t="s">
        <v>1200</v>
      </c>
      <c r="C111" s="795" t="s">
        <v>1201</v>
      </c>
      <c r="D111" s="824" t="s">
        <v>1129</v>
      </c>
      <c r="E111" s="822"/>
      <c r="F111" s="980">
        <v>1797179.662</v>
      </c>
      <c r="G111" s="980">
        <v>286649.57299999997</v>
      </c>
      <c r="H111" s="980">
        <v>171421.42499999999</v>
      </c>
      <c r="I111" s="980">
        <v>337339.60700000002</v>
      </c>
      <c r="J111" s="980">
        <v>108377.923</v>
      </c>
      <c r="K111" s="980">
        <v>-30846.870999999999</v>
      </c>
      <c r="L111" s="980">
        <v>-19693.329000000002</v>
      </c>
      <c r="M111" s="980">
        <v>15870.62</v>
      </c>
      <c r="N111" s="980">
        <v>320869.78999999998</v>
      </c>
      <c r="O111" s="980">
        <v>50367.544000000002</v>
      </c>
      <c r="P111" s="980">
        <v>39391.961000000003</v>
      </c>
      <c r="Q111" s="980">
        <v>-61251.809000000001</v>
      </c>
      <c r="R111" s="983">
        <v>-435751.28200000001</v>
      </c>
    </row>
    <row r="112" spans="1:18" x14ac:dyDescent="0.25">
      <c r="A112" s="439" t="str">
        <f t="shared" si="1"/>
        <v>231111000_700</v>
      </c>
      <c r="B112" s="1006" t="s">
        <v>1206</v>
      </c>
      <c r="C112" s="796" t="s">
        <v>1207</v>
      </c>
      <c r="D112" s="794" t="s">
        <v>1202</v>
      </c>
      <c r="E112" s="794" t="s">
        <v>1116</v>
      </c>
      <c r="F112" s="979">
        <v>1727862.8030000001</v>
      </c>
      <c r="G112" s="979"/>
      <c r="H112" s="979"/>
      <c r="I112" s="979"/>
      <c r="J112" s="979"/>
      <c r="K112" s="979"/>
      <c r="L112" s="979"/>
      <c r="M112" s="979"/>
      <c r="N112" s="979"/>
      <c r="O112" s="979"/>
      <c r="P112" s="979"/>
      <c r="Q112" s="979"/>
      <c r="R112" s="982"/>
    </row>
    <row r="113" spans="1:18" x14ac:dyDescent="0.25">
      <c r="A113" s="439" t="str">
        <f t="shared" si="1"/>
        <v>231111000_710</v>
      </c>
      <c r="B113" s="1006" t="s">
        <v>1206</v>
      </c>
      <c r="C113" s="796" t="s">
        <v>1207</v>
      </c>
      <c r="D113" s="794" t="s">
        <v>1203</v>
      </c>
      <c r="E113" s="794" t="s">
        <v>1169</v>
      </c>
      <c r="F113" s="979"/>
      <c r="G113" s="979">
        <v>307546.40100000001</v>
      </c>
      <c r="H113" s="979">
        <v>144390.677</v>
      </c>
      <c r="I113" s="979">
        <v>238500.682</v>
      </c>
      <c r="J113" s="979">
        <v>144620.60399999999</v>
      </c>
      <c r="K113" s="979">
        <v>83035.835999999996</v>
      </c>
      <c r="L113" s="979">
        <v>-6802.1509999999998</v>
      </c>
      <c r="M113" s="979">
        <v>-14385.186</v>
      </c>
      <c r="N113" s="979">
        <v>-49217.891000000003</v>
      </c>
      <c r="O113" s="979">
        <v>40243.796999999999</v>
      </c>
      <c r="P113" s="979">
        <v>-30661.878000000001</v>
      </c>
      <c r="Q113" s="979">
        <v>25706.611000000001</v>
      </c>
      <c r="R113" s="982">
        <v>-94899.122000000003</v>
      </c>
    </row>
    <row r="114" spans="1:18" x14ac:dyDescent="0.25">
      <c r="A114" s="439" t="str">
        <f t="shared" si="1"/>
        <v>231111000_Result</v>
      </c>
      <c r="B114" s="1006" t="s">
        <v>1206</v>
      </c>
      <c r="C114" s="796" t="s">
        <v>1207</v>
      </c>
      <c r="D114" s="824" t="s">
        <v>1129</v>
      </c>
      <c r="E114" s="822"/>
      <c r="F114" s="980">
        <v>1727862.8030000001</v>
      </c>
      <c r="G114" s="980">
        <v>307546.40100000001</v>
      </c>
      <c r="H114" s="980">
        <v>144390.677</v>
      </c>
      <c r="I114" s="980">
        <v>238500.682</v>
      </c>
      <c r="J114" s="980">
        <v>144620.60399999999</v>
      </c>
      <c r="K114" s="980">
        <v>83035.835999999996</v>
      </c>
      <c r="L114" s="980">
        <v>-6802.1509999999998</v>
      </c>
      <c r="M114" s="980">
        <v>-14385.186</v>
      </c>
      <c r="N114" s="980">
        <v>-49217.891000000003</v>
      </c>
      <c r="O114" s="980">
        <v>40243.796999999999</v>
      </c>
      <c r="P114" s="980">
        <v>-30661.878000000001</v>
      </c>
      <c r="Q114" s="980">
        <v>25706.611000000001</v>
      </c>
      <c r="R114" s="983">
        <v>-94899.122000000003</v>
      </c>
    </row>
    <row r="115" spans="1:18" x14ac:dyDescent="0.25">
      <c r="A115" s="439" t="str">
        <f t="shared" si="1"/>
        <v>231116000_700</v>
      </c>
      <c r="B115" s="1006" t="s">
        <v>1208</v>
      </c>
      <c r="C115" s="796" t="s">
        <v>1209</v>
      </c>
      <c r="D115" s="794" t="s">
        <v>1202</v>
      </c>
      <c r="E115" s="794" t="s">
        <v>1116</v>
      </c>
      <c r="F115" s="979">
        <v>64368.7</v>
      </c>
      <c r="G115" s="979"/>
      <c r="H115" s="979"/>
      <c r="I115" s="979"/>
      <c r="J115" s="979"/>
      <c r="K115" s="979"/>
      <c r="L115" s="979"/>
      <c r="M115" s="979"/>
      <c r="N115" s="979"/>
      <c r="O115" s="979"/>
      <c r="P115" s="979"/>
      <c r="Q115" s="979"/>
      <c r="R115" s="982"/>
    </row>
    <row r="116" spans="1:18" x14ac:dyDescent="0.25">
      <c r="A116" s="439" t="str">
        <f t="shared" si="1"/>
        <v>231116000_710</v>
      </c>
      <c r="B116" s="1006" t="s">
        <v>1208</v>
      </c>
      <c r="C116" s="796" t="s">
        <v>1209</v>
      </c>
      <c r="D116" s="794" t="s">
        <v>1203</v>
      </c>
      <c r="E116" s="794" t="s">
        <v>1169</v>
      </c>
      <c r="F116" s="979"/>
      <c r="G116" s="979">
        <v>-20896.828000000001</v>
      </c>
      <c r="H116" s="979">
        <v>31978.906999999999</v>
      </c>
      <c r="I116" s="979">
        <v>98838.925000000003</v>
      </c>
      <c r="J116" s="979">
        <v>-36242.680999999997</v>
      </c>
      <c r="K116" s="979">
        <v>-113882.70699999999</v>
      </c>
      <c r="L116" s="979">
        <v>-12891.178</v>
      </c>
      <c r="M116" s="979">
        <v>30255.806</v>
      </c>
      <c r="N116" s="979">
        <v>370087.68099999998</v>
      </c>
      <c r="O116" s="979">
        <v>10123.746999999999</v>
      </c>
      <c r="P116" s="979">
        <v>70053.839000000007</v>
      </c>
      <c r="Q116" s="979">
        <v>-86958.42</v>
      </c>
      <c r="R116" s="982">
        <v>-340852.16</v>
      </c>
    </row>
    <row r="117" spans="1:18" x14ac:dyDescent="0.25">
      <c r="A117" s="439" t="str">
        <f t="shared" si="1"/>
        <v>231116000_Result</v>
      </c>
      <c r="B117" s="1006" t="s">
        <v>1208</v>
      </c>
      <c r="C117" s="796" t="s">
        <v>1209</v>
      </c>
      <c r="D117" s="824" t="s">
        <v>1129</v>
      </c>
      <c r="E117" s="822"/>
      <c r="F117" s="980">
        <v>64368.7</v>
      </c>
      <c r="G117" s="980">
        <v>-20896.828000000001</v>
      </c>
      <c r="H117" s="980">
        <v>31978.906999999999</v>
      </c>
      <c r="I117" s="980">
        <v>98838.925000000003</v>
      </c>
      <c r="J117" s="980">
        <v>-36242.680999999997</v>
      </c>
      <c r="K117" s="980">
        <v>-113882.70699999999</v>
      </c>
      <c r="L117" s="980">
        <v>-12891.178</v>
      </c>
      <c r="M117" s="980">
        <v>30255.806</v>
      </c>
      <c r="N117" s="980">
        <v>370087.68099999998</v>
      </c>
      <c r="O117" s="980">
        <v>10123.746999999999</v>
      </c>
      <c r="P117" s="980">
        <v>70053.839000000007</v>
      </c>
      <c r="Q117" s="980">
        <v>-86958.42</v>
      </c>
      <c r="R117" s="983">
        <v>-340852.16</v>
      </c>
    </row>
    <row r="118" spans="1:18" x14ac:dyDescent="0.25">
      <c r="A118" s="439" t="str">
        <f t="shared" si="1"/>
        <v>231117000_700</v>
      </c>
      <c r="B118" s="1006" t="s">
        <v>1210</v>
      </c>
      <c r="C118" s="796" t="s">
        <v>1211</v>
      </c>
      <c r="D118" s="794" t="s">
        <v>1202</v>
      </c>
      <c r="E118" s="794" t="s">
        <v>1116</v>
      </c>
      <c r="F118" s="979">
        <v>4948.1589999999997</v>
      </c>
      <c r="G118" s="979">
        <v>0</v>
      </c>
      <c r="H118" s="979"/>
      <c r="I118" s="979"/>
      <c r="J118" s="979"/>
      <c r="K118" s="979"/>
      <c r="L118" s="979"/>
      <c r="M118" s="979"/>
      <c r="N118" s="979"/>
      <c r="O118" s="979"/>
      <c r="P118" s="979"/>
      <c r="Q118" s="979"/>
      <c r="R118" s="982"/>
    </row>
    <row r="119" spans="1:18" x14ac:dyDescent="0.25">
      <c r="A119" s="439" t="str">
        <f t="shared" si="1"/>
        <v>231117000_710</v>
      </c>
      <c r="B119" s="1006" t="s">
        <v>1210</v>
      </c>
      <c r="C119" s="796" t="s">
        <v>1211</v>
      </c>
      <c r="D119" s="794" t="s">
        <v>1203</v>
      </c>
      <c r="E119" s="794" t="s">
        <v>1169</v>
      </c>
      <c r="F119" s="979"/>
      <c r="G119" s="979">
        <v>0</v>
      </c>
      <c r="H119" s="979">
        <v>-4948.1589999999997</v>
      </c>
      <c r="I119" s="979"/>
      <c r="J119" s="979"/>
      <c r="K119" s="979"/>
      <c r="L119" s="979"/>
      <c r="M119" s="979"/>
      <c r="N119" s="979"/>
      <c r="O119" s="979"/>
      <c r="P119" s="979"/>
      <c r="Q119" s="979"/>
      <c r="R119" s="982"/>
    </row>
    <row r="120" spans="1:18" x14ac:dyDescent="0.25">
      <c r="A120" s="439" t="str">
        <f t="shared" si="1"/>
        <v>231117000_Result</v>
      </c>
      <c r="B120" s="1006" t="s">
        <v>1210</v>
      </c>
      <c r="C120" s="796" t="s">
        <v>1211</v>
      </c>
      <c r="D120" s="824" t="s">
        <v>1129</v>
      </c>
      <c r="E120" s="822"/>
      <c r="F120" s="980">
        <v>4948.1589999999997</v>
      </c>
      <c r="G120" s="980">
        <v>0</v>
      </c>
      <c r="H120" s="980">
        <v>-4948.1589999999997</v>
      </c>
      <c r="I120" s="980"/>
      <c r="J120" s="980"/>
      <c r="K120" s="980"/>
      <c r="L120" s="980"/>
      <c r="M120" s="980"/>
      <c r="N120" s="980"/>
      <c r="O120" s="980"/>
      <c r="P120" s="980"/>
      <c r="Q120" s="980"/>
      <c r="R120" s="983"/>
    </row>
    <row r="121" spans="1:18" x14ac:dyDescent="0.25">
      <c r="A121" s="439" t="str">
        <f t="shared" si="1"/>
        <v>302500000_#</v>
      </c>
      <c r="B121" s="1005" t="s">
        <v>1214</v>
      </c>
      <c r="C121" s="795" t="s">
        <v>207</v>
      </c>
      <c r="D121" s="794" t="s">
        <v>1215</v>
      </c>
      <c r="E121" s="794" t="s">
        <v>1216</v>
      </c>
      <c r="F121" s="979"/>
      <c r="G121" s="979">
        <v>138707.91099999999</v>
      </c>
      <c r="H121" s="979">
        <v>149830.29500000001</v>
      </c>
      <c r="I121" s="979">
        <v>143147.40299999999</v>
      </c>
      <c r="J121" s="979">
        <v>168158.47899999999</v>
      </c>
      <c r="K121" s="979">
        <v>174404.90900000001</v>
      </c>
      <c r="L121" s="979">
        <v>143277.77499999999</v>
      </c>
      <c r="M121" s="979">
        <v>159982.58300000001</v>
      </c>
      <c r="N121" s="979">
        <v>156601.601</v>
      </c>
      <c r="O121" s="979">
        <v>104482.069</v>
      </c>
      <c r="P121" s="979">
        <v>177313.00399999999</v>
      </c>
      <c r="Q121" s="979">
        <v>163189.05799999999</v>
      </c>
      <c r="R121" s="982">
        <v>97617.827000000005</v>
      </c>
    </row>
    <row r="122" spans="1:18" x14ac:dyDescent="0.25">
      <c r="A122" s="439" t="str">
        <f t="shared" si="1"/>
        <v>302500000_Result</v>
      </c>
      <c r="B122" s="1005" t="s">
        <v>1214</v>
      </c>
      <c r="C122" s="795" t="s">
        <v>207</v>
      </c>
      <c r="D122" s="824" t="s">
        <v>1129</v>
      </c>
      <c r="E122" s="822"/>
      <c r="F122" s="980"/>
      <c r="G122" s="980">
        <v>138707.91099999999</v>
      </c>
      <c r="H122" s="980">
        <v>149830.29500000001</v>
      </c>
      <c r="I122" s="980">
        <v>143147.40299999999</v>
      </c>
      <c r="J122" s="980">
        <v>168158.47899999999</v>
      </c>
      <c r="K122" s="980">
        <v>174404.90900000001</v>
      </c>
      <c r="L122" s="980">
        <v>143277.77499999999</v>
      </c>
      <c r="M122" s="980">
        <v>159982.58300000001</v>
      </c>
      <c r="N122" s="980">
        <v>156601.601</v>
      </c>
      <c r="O122" s="980">
        <v>104482.069</v>
      </c>
      <c r="P122" s="980">
        <v>177313.00399999999</v>
      </c>
      <c r="Q122" s="980">
        <v>163189.05799999999</v>
      </c>
      <c r="R122" s="983">
        <v>97617.827000000005</v>
      </c>
    </row>
    <row r="123" spans="1:18" x14ac:dyDescent="0.25">
      <c r="A123" s="439" t="str">
        <f t="shared" si="1"/>
        <v>303000000_#</v>
      </c>
      <c r="B123" s="1007" t="s">
        <v>1217</v>
      </c>
      <c r="C123" s="796" t="s">
        <v>1218</v>
      </c>
      <c r="D123" s="794" t="s">
        <v>1215</v>
      </c>
      <c r="E123" s="794" t="s">
        <v>1216</v>
      </c>
      <c r="F123" s="979"/>
      <c r="G123" s="979">
        <v>138707.91099999999</v>
      </c>
      <c r="H123" s="979">
        <v>149830.29500000001</v>
      </c>
      <c r="I123" s="979">
        <v>143147.40299999999</v>
      </c>
      <c r="J123" s="979">
        <v>168158.47899999999</v>
      </c>
      <c r="K123" s="979">
        <v>174404.90900000001</v>
      </c>
      <c r="L123" s="979">
        <v>143277.77499999999</v>
      </c>
      <c r="M123" s="979">
        <v>159982.58300000001</v>
      </c>
      <c r="N123" s="979">
        <v>156601.601</v>
      </c>
      <c r="O123" s="979">
        <v>104482.069</v>
      </c>
      <c r="P123" s="979">
        <v>177313.00399999999</v>
      </c>
      <c r="Q123" s="979">
        <v>163189.05799999999</v>
      </c>
      <c r="R123" s="982">
        <v>97617.827000000005</v>
      </c>
    </row>
    <row r="124" spans="1:18" x14ac:dyDescent="0.25">
      <c r="A124" s="439" t="str">
        <f t="shared" si="1"/>
        <v>303000000_Result</v>
      </c>
      <c r="B124" s="1007" t="s">
        <v>1217</v>
      </c>
      <c r="C124" s="796" t="s">
        <v>1218</v>
      </c>
      <c r="D124" s="824" t="s">
        <v>1129</v>
      </c>
      <c r="E124" s="822"/>
      <c r="F124" s="980"/>
      <c r="G124" s="980">
        <v>138707.91099999999</v>
      </c>
      <c r="H124" s="980">
        <v>149830.29500000001</v>
      </c>
      <c r="I124" s="980">
        <v>143147.40299999999</v>
      </c>
      <c r="J124" s="980">
        <v>168158.47899999999</v>
      </c>
      <c r="K124" s="980">
        <v>174404.90900000001</v>
      </c>
      <c r="L124" s="980">
        <v>143277.77499999999</v>
      </c>
      <c r="M124" s="980">
        <v>159982.58300000001</v>
      </c>
      <c r="N124" s="980">
        <v>156601.601</v>
      </c>
      <c r="O124" s="980">
        <v>104482.069</v>
      </c>
      <c r="P124" s="980">
        <v>177313.00399999999</v>
      </c>
      <c r="Q124" s="980">
        <v>163189.05799999999</v>
      </c>
      <c r="R124" s="983">
        <v>97617.827000000005</v>
      </c>
    </row>
    <row r="125" spans="1:18" x14ac:dyDescent="0.25">
      <c r="A125" s="439" t="str">
        <f t="shared" si="1"/>
        <v>303500000_#</v>
      </c>
      <c r="B125" s="1009" t="s">
        <v>1219</v>
      </c>
      <c r="C125" s="797" t="s">
        <v>852</v>
      </c>
      <c r="D125" s="794" t="s">
        <v>1215</v>
      </c>
      <c r="E125" s="794" t="s">
        <v>1216</v>
      </c>
      <c r="F125" s="979"/>
      <c r="G125" s="979">
        <v>370539.28399999999</v>
      </c>
      <c r="H125" s="979">
        <v>369160.02799999999</v>
      </c>
      <c r="I125" s="979">
        <v>362379.33399999997</v>
      </c>
      <c r="J125" s="979">
        <v>385671.49200000003</v>
      </c>
      <c r="K125" s="979">
        <v>392594.48499999999</v>
      </c>
      <c r="L125" s="979">
        <v>361264.98300000001</v>
      </c>
      <c r="M125" s="979">
        <v>380653.10600000003</v>
      </c>
      <c r="N125" s="979">
        <v>375249.413</v>
      </c>
      <c r="O125" s="979">
        <v>323472.10499999998</v>
      </c>
      <c r="P125" s="979">
        <v>395199.99599999998</v>
      </c>
      <c r="Q125" s="979">
        <v>381429.08100000001</v>
      </c>
      <c r="R125" s="982">
        <v>316061.46999999997</v>
      </c>
    </row>
    <row r="126" spans="1:18" x14ac:dyDescent="0.25">
      <c r="A126" s="439" t="str">
        <f t="shared" si="1"/>
        <v>303500000_Result</v>
      </c>
      <c r="B126" s="1009" t="s">
        <v>1219</v>
      </c>
      <c r="C126" s="797" t="s">
        <v>852</v>
      </c>
      <c r="D126" s="824" t="s">
        <v>1129</v>
      </c>
      <c r="E126" s="822"/>
      <c r="F126" s="980"/>
      <c r="G126" s="980">
        <v>370539.28399999999</v>
      </c>
      <c r="H126" s="980">
        <v>369160.02799999999</v>
      </c>
      <c r="I126" s="980">
        <v>362379.33399999997</v>
      </c>
      <c r="J126" s="980">
        <v>385671.49200000003</v>
      </c>
      <c r="K126" s="980">
        <v>392594.48499999999</v>
      </c>
      <c r="L126" s="980">
        <v>361264.98300000001</v>
      </c>
      <c r="M126" s="980">
        <v>380653.10600000003</v>
      </c>
      <c r="N126" s="980">
        <v>375249.413</v>
      </c>
      <c r="O126" s="980">
        <v>323472.10499999998</v>
      </c>
      <c r="P126" s="980">
        <v>395199.99599999998</v>
      </c>
      <c r="Q126" s="980">
        <v>381429.08100000001</v>
      </c>
      <c r="R126" s="983">
        <v>316061.46999999997</v>
      </c>
    </row>
    <row r="127" spans="1:18" x14ac:dyDescent="0.25">
      <c r="A127" s="439" t="str">
        <f t="shared" si="1"/>
        <v>304000000_#</v>
      </c>
      <c r="B127" s="1010" t="s">
        <v>1220</v>
      </c>
      <c r="C127" s="798" t="s">
        <v>1221</v>
      </c>
      <c r="D127" s="794" t="s">
        <v>1215</v>
      </c>
      <c r="E127" s="794" t="s">
        <v>1216</v>
      </c>
      <c r="F127" s="979"/>
      <c r="G127" s="979">
        <v>591808.35900000005</v>
      </c>
      <c r="H127" s="979">
        <v>591813.35699999996</v>
      </c>
      <c r="I127" s="979">
        <v>578823.49600000004</v>
      </c>
      <c r="J127" s="979">
        <v>591813.35699999996</v>
      </c>
      <c r="K127" s="979">
        <v>604820.53099999996</v>
      </c>
      <c r="L127" s="979">
        <v>570831.71499999997</v>
      </c>
      <c r="M127" s="979">
        <v>610620.51699999999</v>
      </c>
      <c r="N127" s="979">
        <v>597325.63699999999</v>
      </c>
      <c r="O127" s="979">
        <v>544275.86600000004</v>
      </c>
      <c r="P127" s="979">
        <v>610591.37899999996</v>
      </c>
      <c r="Q127" s="979">
        <v>597316.71499999997</v>
      </c>
      <c r="R127" s="982">
        <v>531006.52</v>
      </c>
    </row>
    <row r="128" spans="1:18" x14ac:dyDescent="0.25">
      <c r="A128" s="439" t="str">
        <f t="shared" si="1"/>
        <v>304000000_Result</v>
      </c>
      <c r="B128" s="1010" t="s">
        <v>1220</v>
      </c>
      <c r="C128" s="798" t="s">
        <v>1221</v>
      </c>
      <c r="D128" s="824" t="s">
        <v>1129</v>
      </c>
      <c r="E128" s="822"/>
      <c r="F128" s="980"/>
      <c r="G128" s="980">
        <v>591808.35900000005</v>
      </c>
      <c r="H128" s="980">
        <v>591813.35699999996</v>
      </c>
      <c r="I128" s="980">
        <v>578823.49600000004</v>
      </c>
      <c r="J128" s="980">
        <v>591813.35699999996</v>
      </c>
      <c r="K128" s="980">
        <v>604820.53099999996</v>
      </c>
      <c r="L128" s="980">
        <v>570831.71499999997</v>
      </c>
      <c r="M128" s="980">
        <v>610620.51699999999</v>
      </c>
      <c r="N128" s="980">
        <v>597325.63699999999</v>
      </c>
      <c r="O128" s="980">
        <v>544275.86600000004</v>
      </c>
      <c r="P128" s="980">
        <v>610591.37899999996</v>
      </c>
      <c r="Q128" s="980">
        <v>597316.71499999997</v>
      </c>
      <c r="R128" s="983">
        <v>531006.52</v>
      </c>
    </row>
    <row r="129" spans="1:18" x14ac:dyDescent="0.25">
      <c r="A129" s="439" t="str">
        <f t="shared" si="1"/>
        <v>304500000_#</v>
      </c>
      <c r="B129" s="600" t="s">
        <v>1222</v>
      </c>
      <c r="C129" s="825" t="s">
        <v>195</v>
      </c>
      <c r="D129" s="794" t="s">
        <v>1215</v>
      </c>
      <c r="E129" s="794" t="s">
        <v>1216</v>
      </c>
      <c r="F129" s="979"/>
      <c r="G129" s="979">
        <v>1739629.5279999999</v>
      </c>
      <c r="H129" s="979">
        <v>1739642.172</v>
      </c>
      <c r="I129" s="979">
        <v>1695770.175</v>
      </c>
      <c r="J129" s="979">
        <v>1739642.172</v>
      </c>
      <c r="K129" s="979">
        <v>1783555.132</v>
      </c>
      <c r="L129" s="979">
        <v>1664422.378</v>
      </c>
      <c r="M129" s="979">
        <v>1798104.8529999999</v>
      </c>
      <c r="N129" s="979">
        <v>1753455.7420000001</v>
      </c>
      <c r="O129" s="979">
        <v>1575219.5379999999</v>
      </c>
      <c r="P129" s="979">
        <v>1798018.027</v>
      </c>
      <c r="Q129" s="979">
        <v>1753426.3359999999</v>
      </c>
      <c r="R129" s="982">
        <v>1530643.757</v>
      </c>
    </row>
    <row r="130" spans="1:18" x14ac:dyDescent="0.25">
      <c r="A130" s="439" t="str">
        <f t="shared" si="1"/>
        <v>304500000_Result</v>
      </c>
      <c r="B130" s="600" t="s">
        <v>1222</v>
      </c>
      <c r="C130" s="825" t="s">
        <v>195</v>
      </c>
      <c r="D130" s="824" t="s">
        <v>1129</v>
      </c>
      <c r="E130" s="822"/>
      <c r="F130" s="980"/>
      <c r="G130" s="980">
        <v>1739629.5279999999</v>
      </c>
      <c r="H130" s="980">
        <v>1739642.172</v>
      </c>
      <c r="I130" s="980">
        <v>1695770.175</v>
      </c>
      <c r="J130" s="980">
        <v>1739642.172</v>
      </c>
      <c r="K130" s="980">
        <v>1783555.132</v>
      </c>
      <c r="L130" s="980">
        <v>1664422.378</v>
      </c>
      <c r="M130" s="980">
        <v>1798104.8529999999</v>
      </c>
      <c r="N130" s="980">
        <v>1753455.7420000001</v>
      </c>
      <c r="O130" s="980">
        <v>1575219.5379999999</v>
      </c>
      <c r="P130" s="980">
        <v>1798018.027</v>
      </c>
      <c r="Q130" s="980">
        <v>1753426.3359999999</v>
      </c>
      <c r="R130" s="983">
        <v>1530643.757</v>
      </c>
    </row>
    <row r="131" spans="1:18" x14ac:dyDescent="0.25">
      <c r="A131" s="439" t="str">
        <f t="shared" si="1"/>
        <v>305000000_#</v>
      </c>
      <c r="B131" s="799" t="s">
        <v>1223</v>
      </c>
      <c r="C131" s="799" t="s">
        <v>745</v>
      </c>
      <c r="D131" s="794" t="s">
        <v>1215</v>
      </c>
      <c r="E131" s="794" t="s">
        <v>1216</v>
      </c>
      <c r="F131" s="979"/>
      <c r="G131" s="979">
        <v>1739629.5279999999</v>
      </c>
      <c r="H131" s="979">
        <v>1739642.172</v>
      </c>
      <c r="I131" s="979">
        <v>1695770.175</v>
      </c>
      <c r="J131" s="979">
        <v>1739642.172</v>
      </c>
      <c r="K131" s="979">
        <v>1783555.132</v>
      </c>
      <c r="L131" s="979">
        <v>1664422.378</v>
      </c>
      <c r="M131" s="979">
        <v>1798104.8529999999</v>
      </c>
      <c r="N131" s="979">
        <v>1753455.7420000001</v>
      </c>
      <c r="O131" s="979">
        <v>1575219.5379999999</v>
      </c>
      <c r="P131" s="979">
        <v>1798018.027</v>
      </c>
      <c r="Q131" s="979">
        <v>1753426.3359999999</v>
      </c>
      <c r="R131" s="982">
        <v>1530643.757</v>
      </c>
    </row>
    <row r="132" spans="1:18" x14ac:dyDescent="0.25">
      <c r="A132" s="439" t="str">
        <f t="shared" ref="A132:A195" si="2" xml:space="preserve"> IFERROR(+B132*1,B132)&amp;"_"&amp;IFERROR(+D132*1,D132)</f>
        <v>305000000_Result</v>
      </c>
      <c r="B132" s="799" t="s">
        <v>1223</v>
      </c>
      <c r="C132" s="799" t="s">
        <v>745</v>
      </c>
      <c r="D132" s="824" t="s">
        <v>1129</v>
      </c>
      <c r="E132" s="822"/>
      <c r="F132" s="980"/>
      <c r="G132" s="980">
        <v>1739629.5279999999</v>
      </c>
      <c r="H132" s="980">
        <v>1739642.172</v>
      </c>
      <c r="I132" s="980">
        <v>1695770.175</v>
      </c>
      <c r="J132" s="980">
        <v>1739642.172</v>
      </c>
      <c r="K132" s="980">
        <v>1783555.132</v>
      </c>
      <c r="L132" s="980">
        <v>1664422.378</v>
      </c>
      <c r="M132" s="980">
        <v>1798104.8529999999</v>
      </c>
      <c r="N132" s="980">
        <v>1753455.7420000001</v>
      </c>
      <c r="O132" s="980">
        <v>1575219.5379999999</v>
      </c>
      <c r="P132" s="980">
        <v>1798018.027</v>
      </c>
      <c r="Q132" s="980">
        <v>1753426.3359999999</v>
      </c>
      <c r="R132" s="983">
        <v>1530643.757</v>
      </c>
    </row>
    <row r="133" spans="1:18" x14ac:dyDescent="0.25">
      <c r="A133" s="439" t="str">
        <f t="shared" si="2"/>
        <v>305002100_#</v>
      </c>
      <c r="B133" s="1011" t="s">
        <v>1226</v>
      </c>
      <c r="C133" s="800" t="s">
        <v>753</v>
      </c>
      <c r="D133" s="794" t="s">
        <v>1215</v>
      </c>
      <c r="E133" s="794" t="s">
        <v>1216</v>
      </c>
      <c r="F133" s="979"/>
      <c r="G133" s="979">
        <v>1739629.5279999999</v>
      </c>
      <c r="H133" s="979">
        <v>1739642.172</v>
      </c>
      <c r="I133" s="979">
        <v>1695770.175</v>
      </c>
      <c r="J133" s="979">
        <v>1739642.172</v>
      </c>
      <c r="K133" s="979">
        <v>1783555.132</v>
      </c>
      <c r="L133" s="979">
        <v>1664422.378</v>
      </c>
      <c r="M133" s="979">
        <v>1798104.8529999999</v>
      </c>
      <c r="N133" s="979">
        <v>1753455.7420000001</v>
      </c>
      <c r="O133" s="979">
        <v>1575219.5379999999</v>
      </c>
      <c r="P133" s="979">
        <v>1798018.027</v>
      </c>
      <c r="Q133" s="979">
        <v>1753426.3359999999</v>
      </c>
      <c r="R133" s="982">
        <v>1530643.757</v>
      </c>
    </row>
    <row r="134" spans="1:18" x14ac:dyDescent="0.25">
      <c r="A134" s="439" t="str">
        <f t="shared" si="2"/>
        <v>305002100_Result</v>
      </c>
      <c r="B134" s="1011" t="s">
        <v>1226</v>
      </c>
      <c r="C134" s="800" t="s">
        <v>753</v>
      </c>
      <c r="D134" s="824" t="s">
        <v>1129</v>
      </c>
      <c r="E134" s="822"/>
      <c r="F134" s="980"/>
      <c r="G134" s="980">
        <v>1739629.5279999999</v>
      </c>
      <c r="H134" s="980">
        <v>1739642.172</v>
      </c>
      <c r="I134" s="980">
        <v>1695770.175</v>
      </c>
      <c r="J134" s="980">
        <v>1739642.172</v>
      </c>
      <c r="K134" s="980">
        <v>1783555.132</v>
      </c>
      <c r="L134" s="980">
        <v>1664422.378</v>
      </c>
      <c r="M134" s="980">
        <v>1798104.8529999999</v>
      </c>
      <c r="N134" s="980">
        <v>1753455.7420000001</v>
      </c>
      <c r="O134" s="980">
        <v>1575219.5379999999</v>
      </c>
      <c r="P134" s="980">
        <v>1798018.027</v>
      </c>
      <c r="Q134" s="980">
        <v>1753426.3359999999</v>
      </c>
      <c r="R134" s="983">
        <v>1530643.757</v>
      </c>
    </row>
    <row r="135" spans="1:18" x14ac:dyDescent="0.25">
      <c r="A135" s="439" t="str">
        <f t="shared" si="2"/>
        <v>306000000_#</v>
      </c>
      <c r="B135" s="600" t="s">
        <v>1230</v>
      </c>
      <c r="C135" s="825" t="s">
        <v>761</v>
      </c>
      <c r="D135" s="794" t="s">
        <v>1215</v>
      </c>
      <c r="E135" s="794" t="s">
        <v>1216</v>
      </c>
      <c r="F135" s="979"/>
      <c r="G135" s="979">
        <v>-1147821.169</v>
      </c>
      <c r="H135" s="979">
        <v>-1147828.8149999999</v>
      </c>
      <c r="I135" s="979">
        <v>-1116946.679</v>
      </c>
      <c r="J135" s="979">
        <v>-1147828.8149999999</v>
      </c>
      <c r="K135" s="979">
        <v>-1178734.601</v>
      </c>
      <c r="L135" s="979">
        <v>-1093590.6629999999</v>
      </c>
      <c r="M135" s="979">
        <v>-1187484.3359999999</v>
      </c>
      <c r="N135" s="979">
        <v>-1156130.105</v>
      </c>
      <c r="O135" s="979">
        <v>-1030943.672</v>
      </c>
      <c r="P135" s="979">
        <v>-1187426.648</v>
      </c>
      <c r="Q135" s="979">
        <v>-1156109.621</v>
      </c>
      <c r="R135" s="982">
        <v>-999637.23699999996</v>
      </c>
    </row>
    <row r="136" spans="1:18" x14ac:dyDescent="0.25">
      <c r="A136" s="439" t="str">
        <f t="shared" si="2"/>
        <v>306000000_Result</v>
      </c>
      <c r="B136" s="600" t="s">
        <v>1230</v>
      </c>
      <c r="C136" s="825" t="s">
        <v>761</v>
      </c>
      <c r="D136" s="824" t="s">
        <v>1129</v>
      </c>
      <c r="E136" s="822"/>
      <c r="F136" s="980"/>
      <c r="G136" s="980">
        <v>-1147821.169</v>
      </c>
      <c r="H136" s="980">
        <v>-1147828.8149999999</v>
      </c>
      <c r="I136" s="980">
        <v>-1116946.679</v>
      </c>
      <c r="J136" s="980">
        <v>-1147828.8149999999</v>
      </c>
      <c r="K136" s="980">
        <v>-1178734.601</v>
      </c>
      <c r="L136" s="980">
        <v>-1093590.6629999999</v>
      </c>
      <c r="M136" s="980">
        <v>-1187484.3359999999</v>
      </c>
      <c r="N136" s="980">
        <v>-1156130.105</v>
      </c>
      <c r="O136" s="980">
        <v>-1030943.672</v>
      </c>
      <c r="P136" s="980">
        <v>-1187426.648</v>
      </c>
      <c r="Q136" s="980">
        <v>-1156109.621</v>
      </c>
      <c r="R136" s="983">
        <v>-999637.23699999996</v>
      </c>
    </row>
    <row r="137" spans="1:18" x14ac:dyDescent="0.25">
      <c r="A137" s="439" t="str">
        <f t="shared" si="2"/>
        <v>306500000_#</v>
      </c>
      <c r="B137" s="799" t="s">
        <v>1231</v>
      </c>
      <c r="C137" s="799" t="s">
        <v>1232</v>
      </c>
      <c r="D137" s="794" t="s">
        <v>1215</v>
      </c>
      <c r="E137" s="794" t="s">
        <v>1216</v>
      </c>
      <c r="F137" s="979"/>
      <c r="G137" s="979">
        <v>-1126110.7120000001</v>
      </c>
      <c r="H137" s="979">
        <v>-1126118.1910000001</v>
      </c>
      <c r="I137" s="979">
        <v>-1095818.7180000001</v>
      </c>
      <c r="J137" s="979">
        <v>-1126118.1910000001</v>
      </c>
      <c r="K137" s="979">
        <v>-1156440.7690000001</v>
      </c>
      <c r="L137" s="979">
        <v>-1072879.0319999999</v>
      </c>
      <c r="M137" s="979">
        <v>-1164997.27</v>
      </c>
      <c r="N137" s="979">
        <v>-1134236.023</v>
      </c>
      <c r="O137" s="979">
        <v>-1011416.742</v>
      </c>
      <c r="P137" s="979">
        <v>-1164940.7339999999</v>
      </c>
      <c r="Q137" s="979">
        <v>-1134215.929</v>
      </c>
      <c r="R137" s="982">
        <v>-980702.31700000004</v>
      </c>
    </row>
    <row r="138" spans="1:18" x14ac:dyDescent="0.25">
      <c r="A138" s="439" t="str">
        <f t="shared" si="2"/>
        <v>306500000_Result</v>
      </c>
      <c r="B138" s="799" t="s">
        <v>1231</v>
      </c>
      <c r="C138" s="799" t="s">
        <v>1232</v>
      </c>
      <c r="D138" s="824" t="s">
        <v>1129</v>
      </c>
      <c r="E138" s="822"/>
      <c r="F138" s="980"/>
      <c r="G138" s="980">
        <v>-1126110.7120000001</v>
      </c>
      <c r="H138" s="980">
        <v>-1126118.1910000001</v>
      </c>
      <c r="I138" s="980">
        <v>-1095818.7180000001</v>
      </c>
      <c r="J138" s="980">
        <v>-1126118.1910000001</v>
      </c>
      <c r="K138" s="980">
        <v>-1156440.7690000001</v>
      </c>
      <c r="L138" s="980">
        <v>-1072879.0319999999</v>
      </c>
      <c r="M138" s="980">
        <v>-1164997.27</v>
      </c>
      <c r="N138" s="980">
        <v>-1134236.023</v>
      </c>
      <c r="O138" s="980">
        <v>-1011416.742</v>
      </c>
      <c r="P138" s="980">
        <v>-1164940.7339999999</v>
      </c>
      <c r="Q138" s="980">
        <v>-1134215.929</v>
      </c>
      <c r="R138" s="983">
        <v>-980702.31700000004</v>
      </c>
    </row>
    <row r="139" spans="1:18" x14ac:dyDescent="0.25">
      <c r="A139" s="439" t="str">
        <f t="shared" si="2"/>
        <v>306501600_#</v>
      </c>
      <c r="B139" s="1011" t="s">
        <v>1233</v>
      </c>
      <c r="C139" s="800" t="s">
        <v>1234</v>
      </c>
      <c r="D139" s="794" t="s">
        <v>1215</v>
      </c>
      <c r="E139" s="794" t="s">
        <v>1216</v>
      </c>
      <c r="F139" s="979"/>
      <c r="G139" s="979">
        <v>-1103372.9080000001</v>
      </c>
      <c r="H139" s="979">
        <v>-1103380.186</v>
      </c>
      <c r="I139" s="979">
        <v>-1073636.2509999999</v>
      </c>
      <c r="J139" s="979">
        <v>-1103380.186</v>
      </c>
      <c r="K139" s="979">
        <v>-1133146.916</v>
      </c>
      <c r="L139" s="979">
        <v>-1051120.2549999999</v>
      </c>
      <c r="M139" s="979">
        <v>-1141550.1240000001</v>
      </c>
      <c r="N139" s="979">
        <v>-1111352.581</v>
      </c>
      <c r="O139" s="979">
        <v>-990784.43799999997</v>
      </c>
      <c r="P139" s="979">
        <v>-1141494.5989999999</v>
      </c>
      <c r="Q139" s="979">
        <v>-1111332.8840000001</v>
      </c>
      <c r="R139" s="982">
        <v>-960632.93900000001</v>
      </c>
    </row>
    <row r="140" spans="1:18" x14ac:dyDescent="0.25">
      <c r="A140" s="439" t="str">
        <f t="shared" si="2"/>
        <v>306501600_Result</v>
      </c>
      <c r="B140" s="1011" t="s">
        <v>1233</v>
      </c>
      <c r="C140" s="800" t="s">
        <v>1234</v>
      </c>
      <c r="D140" s="824" t="s">
        <v>1129</v>
      </c>
      <c r="E140" s="822"/>
      <c r="F140" s="980"/>
      <c r="G140" s="980">
        <v>-1103372.9080000001</v>
      </c>
      <c r="H140" s="980">
        <v>-1103380.186</v>
      </c>
      <c r="I140" s="980">
        <v>-1073636.2509999999</v>
      </c>
      <c r="J140" s="980">
        <v>-1103380.186</v>
      </c>
      <c r="K140" s="980">
        <v>-1133146.916</v>
      </c>
      <c r="L140" s="980">
        <v>-1051120.2549999999</v>
      </c>
      <c r="M140" s="980">
        <v>-1141550.1240000001</v>
      </c>
      <c r="N140" s="980">
        <v>-1111352.581</v>
      </c>
      <c r="O140" s="980">
        <v>-990784.43799999997</v>
      </c>
      <c r="P140" s="980">
        <v>-1141494.5989999999</v>
      </c>
      <c r="Q140" s="980">
        <v>-1111332.8840000001</v>
      </c>
      <c r="R140" s="983">
        <v>-960632.93900000001</v>
      </c>
    </row>
    <row r="141" spans="1:18" x14ac:dyDescent="0.25">
      <c r="A141" s="439" t="str">
        <f t="shared" si="2"/>
        <v>307000000_#</v>
      </c>
      <c r="B141" s="1012" t="s">
        <v>1235</v>
      </c>
      <c r="C141" s="800" t="s">
        <v>1236</v>
      </c>
      <c r="D141" s="794" t="s">
        <v>1215</v>
      </c>
      <c r="E141" s="794" t="s">
        <v>1216</v>
      </c>
      <c r="F141" s="979"/>
      <c r="G141" s="979">
        <v>-22737.804</v>
      </c>
      <c r="H141" s="979">
        <v>-22738.005000000001</v>
      </c>
      <c r="I141" s="979">
        <v>-22182.467000000001</v>
      </c>
      <c r="J141" s="979">
        <v>-22738.005000000001</v>
      </c>
      <c r="K141" s="979">
        <v>-23293.852999999999</v>
      </c>
      <c r="L141" s="979">
        <v>-21758.776999999998</v>
      </c>
      <c r="M141" s="979">
        <v>-23447.146000000001</v>
      </c>
      <c r="N141" s="979">
        <v>-22883.441999999999</v>
      </c>
      <c r="O141" s="979">
        <v>-20632.304</v>
      </c>
      <c r="P141" s="979">
        <v>-23446.134999999998</v>
      </c>
      <c r="Q141" s="979">
        <v>-22883.044999999998</v>
      </c>
      <c r="R141" s="982">
        <v>-20069.378000000001</v>
      </c>
    </row>
    <row r="142" spans="1:18" x14ac:dyDescent="0.25">
      <c r="A142" s="439" t="str">
        <f t="shared" si="2"/>
        <v>307000000_Result</v>
      </c>
      <c r="B142" s="1012" t="s">
        <v>1235</v>
      </c>
      <c r="C142" s="800" t="s">
        <v>1236</v>
      </c>
      <c r="D142" s="824" t="s">
        <v>1129</v>
      </c>
      <c r="E142" s="822"/>
      <c r="F142" s="980"/>
      <c r="G142" s="980">
        <v>-22737.804</v>
      </c>
      <c r="H142" s="980">
        <v>-22738.005000000001</v>
      </c>
      <c r="I142" s="980">
        <v>-22182.467000000001</v>
      </c>
      <c r="J142" s="980">
        <v>-22738.005000000001</v>
      </c>
      <c r="K142" s="980">
        <v>-23293.852999999999</v>
      </c>
      <c r="L142" s="980">
        <v>-21758.776999999998</v>
      </c>
      <c r="M142" s="980">
        <v>-23447.146000000001</v>
      </c>
      <c r="N142" s="980">
        <v>-22883.441999999999</v>
      </c>
      <c r="O142" s="980">
        <v>-20632.304</v>
      </c>
      <c r="P142" s="980">
        <v>-23446.134999999998</v>
      </c>
      <c r="Q142" s="980">
        <v>-22883.044999999998</v>
      </c>
      <c r="R142" s="983">
        <v>-20069.378000000001</v>
      </c>
    </row>
    <row r="143" spans="1:18" x14ac:dyDescent="0.25">
      <c r="A143" s="439" t="str">
        <f t="shared" si="2"/>
        <v>307001600_#</v>
      </c>
      <c r="B143" s="1013" t="s">
        <v>1237</v>
      </c>
      <c r="C143" s="800" t="s">
        <v>771</v>
      </c>
      <c r="D143" s="794" t="s">
        <v>1215</v>
      </c>
      <c r="E143" s="794" t="s">
        <v>1216</v>
      </c>
      <c r="F143" s="979"/>
      <c r="G143" s="979">
        <v>-15634.894</v>
      </c>
      <c r="H143" s="979">
        <v>-15635.026</v>
      </c>
      <c r="I143" s="979">
        <v>-15236.322</v>
      </c>
      <c r="J143" s="979">
        <v>-15635.026</v>
      </c>
      <c r="K143" s="979">
        <v>-16034.022000000001</v>
      </c>
      <c r="L143" s="979">
        <v>-14941.215</v>
      </c>
      <c r="M143" s="979">
        <v>-16154.419</v>
      </c>
      <c r="N143" s="979">
        <v>-15749.293</v>
      </c>
      <c r="O143" s="979">
        <v>-14131.726000000001</v>
      </c>
      <c r="P143" s="979">
        <v>-16153.666999999999</v>
      </c>
      <c r="Q143" s="979">
        <v>-15749.017</v>
      </c>
      <c r="R143" s="982">
        <v>-13727.206</v>
      </c>
    </row>
    <row r="144" spans="1:18" x14ac:dyDescent="0.25">
      <c r="A144" s="439" t="str">
        <f t="shared" si="2"/>
        <v>307001600_Result</v>
      </c>
      <c r="B144" s="1013" t="s">
        <v>1237</v>
      </c>
      <c r="C144" s="800" t="s">
        <v>771</v>
      </c>
      <c r="D144" s="824" t="s">
        <v>1129</v>
      </c>
      <c r="E144" s="822"/>
      <c r="F144" s="980"/>
      <c r="G144" s="980">
        <v>-15634.894</v>
      </c>
      <c r="H144" s="980">
        <v>-15635.026</v>
      </c>
      <c r="I144" s="980">
        <v>-15236.322</v>
      </c>
      <c r="J144" s="980">
        <v>-15635.026</v>
      </c>
      <c r="K144" s="980">
        <v>-16034.022000000001</v>
      </c>
      <c r="L144" s="980">
        <v>-14941.215</v>
      </c>
      <c r="M144" s="980">
        <v>-16154.419</v>
      </c>
      <c r="N144" s="980">
        <v>-15749.293</v>
      </c>
      <c r="O144" s="980">
        <v>-14131.726000000001</v>
      </c>
      <c r="P144" s="980">
        <v>-16153.666999999999</v>
      </c>
      <c r="Q144" s="980">
        <v>-15749.017</v>
      </c>
      <c r="R144" s="983">
        <v>-13727.206</v>
      </c>
    </row>
    <row r="145" spans="1:18" x14ac:dyDescent="0.25">
      <c r="A145" s="439" t="str">
        <f t="shared" si="2"/>
        <v>307002100_#</v>
      </c>
      <c r="B145" s="1013" t="s">
        <v>1238</v>
      </c>
      <c r="C145" s="800" t="s">
        <v>773</v>
      </c>
      <c r="D145" s="794" t="s">
        <v>1215</v>
      </c>
      <c r="E145" s="794" t="s">
        <v>1216</v>
      </c>
      <c r="F145" s="979"/>
      <c r="G145" s="979">
        <v>-7102.91</v>
      </c>
      <c r="H145" s="979">
        <v>-7102.9790000000003</v>
      </c>
      <c r="I145" s="979">
        <v>-6946.1450000000004</v>
      </c>
      <c r="J145" s="979">
        <v>-7102.9790000000003</v>
      </c>
      <c r="K145" s="979">
        <v>-7259.8310000000001</v>
      </c>
      <c r="L145" s="979">
        <v>-6817.5619999999999</v>
      </c>
      <c r="M145" s="979">
        <v>-7292.7269999999999</v>
      </c>
      <c r="N145" s="979">
        <v>-7134.1490000000003</v>
      </c>
      <c r="O145" s="979">
        <v>-6500.5780000000004</v>
      </c>
      <c r="P145" s="979">
        <v>-7292.4679999999998</v>
      </c>
      <c r="Q145" s="979">
        <v>-7134.0280000000002</v>
      </c>
      <c r="R145" s="982">
        <v>-6342.1719999999996</v>
      </c>
    </row>
    <row r="146" spans="1:18" x14ac:dyDescent="0.25">
      <c r="A146" s="439" t="str">
        <f t="shared" si="2"/>
        <v>307002100_Result</v>
      </c>
      <c r="B146" s="1013" t="s">
        <v>1238</v>
      </c>
      <c r="C146" s="800" t="s">
        <v>773</v>
      </c>
      <c r="D146" s="824" t="s">
        <v>1129</v>
      </c>
      <c r="E146" s="822"/>
      <c r="F146" s="980"/>
      <c r="G146" s="980">
        <v>-7102.91</v>
      </c>
      <c r="H146" s="980">
        <v>-7102.9790000000003</v>
      </c>
      <c r="I146" s="980">
        <v>-6946.1450000000004</v>
      </c>
      <c r="J146" s="980">
        <v>-7102.9790000000003</v>
      </c>
      <c r="K146" s="980">
        <v>-7259.8310000000001</v>
      </c>
      <c r="L146" s="980">
        <v>-6817.5619999999999</v>
      </c>
      <c r="M146" s="980">
        <v>-7292.7269999999999</v>
      </c>
      <c r="N146" s="980">
        <v>-7134.1490000000003</v>
      </c>
      <c r="O146" s="980">
        <v>-6500.5780000000004</v>
      </c>
      <c r="P146" s="980">
        <v>-7292.4679999999998</v>
      </c>
      <c r="Q146" s="980">
        <v>-7134.0280000000002</v>
      </c>
      <c r="R146" s="983">
        <v>-6342.1719999999996</v>
      </c>
    </row>
    <row r="147" spans="1:18" x14ac:dyDescent="0.25">
      <c r="A147" s="439" t="str">
        <f t="shared" si="2"/>
        <v>307500000_#</v>
      </c>
      <c r="B147" s="799" t="s">
        <v>1239</v>
      </c>
      <c r="C147" s="799" t="s">
        <v>777</v>
      </c>
      <c r="D147" s="794" t="s">
        <v>1215</v>
      </c>
      <c r="E147" s="794" t="s">
        <v>1216</v>
      </c>
      <c r="F147" s="979"/>
      <c r="G147" s="979">
        <v>-21710.456999999999</v>
      </c>
      <c r="H147" s="979">
        <v>-21710.624</v>
      </c>
      <c r="I147" s="979">
        <v>-21127.960999999999</v>
      </c>
      <c r="J147" s="979">
        <v>-21710.624</v>
      </c>
      <c r="K147" s="979">
        <v>-22293.831999999999</v>
      </c>
      <c r="L147" s="979">
        <v>-20711.631000000001</v>
      </c>
      <c r="M147" s="979">
        <v>-22487.065999999999</v>
      </c>
      <c r="N147" s="979">
        <v>-21894.081999999999</v>
      </c>
      <c r="O147" s="979">
        <v>-19526.93</v>
      </c>
      <c r="P147" s="979">
        <v>-22485.914000000001</v>
      </c>
      <c r="Q147" s="979">
        <v>-21893.691999999999</v>
      </c>
      <c r="R147" s="982">
        <v>-18934.919999999998</v>
      </c>
    </row>
    <row r="148" spans="1:18" x14ac:dyDescent="0.25">
      <c r="A148" s="439" t="str">
        <f t="shared" si="2"/>
        <v>307500000_Result</v>
      </c>
      <c r="B148" s="799" t="s">
        <v>1239</v>
      </c>
      <c r="C148" s="799" t="s">
        <v>777</v>
      </c>
      <c r="D148" s="824" t="s">
        <v>1129</v>
      </c>
      <c r="E148" s="822"/>
      <c r="F148" s="980"/>
      <c r="G148" s="980">
        <v>-21710.456999999999</v>
      </c>
      <c r="H148" s="980">
        <v>-21710.624</v>
      </c>
      <c r="I148" s="980">
        <v>-21127.960999999999</v>
      </c>
      <c r="J148" s="980">
        <v>-21710.624</v>
      </c>
      <c r="K148" s="980">
        <v>-22293.831999999999</v>
      </c>
      <c r="L148" s="980">
        <v>-20711.631000000001</v>
      </c>
      <c r="M148" s="980">
        <v>-22487.065999999999</v>
      </c>
      <c r="N148" s="980">
        <v>-21894.081999999999</v>
      </c>
      <c r="O148" s="980">
        <v>-19526.93</v>
      </c>
      <c r="P148" s="980">
        <v>-22485.914000000001</v>
      </c>
      <c r="Q148" s="980">
        <v>-21893.691999999999</v>
      </c>
      <c r="R148" s="983">
        <v>-18934.919999999998</v>
      </c>
    </row>
    <row r="149" spans="1:18" x14ac:dyDescent="0.25">
      <c r="A149" s="439" t="str">
        <f t="shared" si="2"/>
        <v>308500000_#</v>
      </c>
      <c r="B149" s="1012" t="s">
        <v>1252</v>
      </c>
      <c r="C149" s="800" t="s">
        <v>1253</v>
      </c>
      <c r="D149" s="794" t="s">
        <v>1215</v>
      </c>
      <c r="E149" s="794" t="s">
        <v>1216</v>
      </c>
      <c r="F149" s="979"/>
      <c r="G149" s="979">
        <v>-6865.7489999999998</v>
      </c>
      <c r="H149" s="979">
        <v>-6865.8019999999997</v>
      </c>
      <c r="I149" s="979">
        <v>-6681.54</v>
      </c>
      <c r="J149" s="979">
        <v>-6865.8019999999997</v>
      </c>
      <c r="K149" s="979">
        <v>-7050.2370000000001</v>
      </c>
      <c r="L149" s="979">
        <v>-6549.8789999999999</v>
      </c>
      <c r="M149" s="979">
        <v>-7111.3450000000003</v>
      </c>
      <c r="N149" s="979">
        <v>-6923.8190000000004</v>
      </c>
      <c r="O149" s="979">
        <v>-6175.2269999999999</v>
      </c>
      <c r="P149" s="979">
        <v>-7110.9809999999998</v>
      </c>
      <c r="Q149" s="979">
        <v>-6923.6959999999999</v>
      </c>
      <c r="R149" s="982">
        <v>-5988.0079999999998</v>
      </c>
    </row>
    <row r="150" spans="1:18" x14ac:dyDescent="0.25">
      <c r="A150" s="439" t="str">
        <f t="shared" si="2"/>
        <v>308500000_Result</v>
      </c>
      <c r="B150" s="1012" t="s">
        <v>1252</v>
      </c>
      <c r="C150" s="800" t="s">
        <v>1253</v>
      </c>
      <c r="D150" s="824" t="s">
        <v>1129</v>
      </c>
      <c r="E150" s="822"/>
      <c r="F150" s="980"/>
      <c r="G150" s="980">
        <v>-6865.7489999999998</v>
      </c>
      <c r="H150" s="980">
        <v>-6865.8019999999997</v>
      </c>
      <c r="I150" s="980">
        <v>-6681.54</v>
      </c>
      <c r="J150" s="980">
        <v>-6865.8019999999997</v>
      </c>
      <c r="K150" s="980">
        <v>-7050.2370000000001</v>
      </c>
      <c r="L150" s="980">
        <v>-6549.8789999999999</v>
      </c>
      <c r="M150" s="980">
        <v>-7111.3450000000003</v>
      </c>
      <c r="N150" s="980">
        <v>-6923.8190000000004</v>
      </c>
      <c r="O150" s="980">
        <v>-6175.2269999999999</v>
      </c>
      <c r="P150" s="980">
        <v>-7110.9809999999998</v>
      </c>
      <c r="Q150" s="980">
        <v>-6923.6959999999999</v>
      </c>
      <c r="R150" s="983">
        <v>-5988.0079999999998</v>
      </c>
    </row>
    <row r="151" spans="1:18" x14ac:dyDescent="0.25">
      <c r="A151" s="439" t="str">
        <f t="shared" si="2"/>
        <v>309500000_#</v>
      </c>
      <c r="B151" s="1014" t="s">
        <v>1254</v>
      </c>
      <c r="C151" s="800" t="s">
        <v>1255</v>
      </c>
      <c r="D151" s="794" t="s">
        <v>1215</v>
      </c>
      <c r="E151" s="794" t="s">
        <v>1216</v>
      </c>
      <c r="F151" s="979"/>
      <c r="G151" s="979">
        <v>-6865.7489999999998</v>
      </c>
      <c r="H151" s="979">
        <v>-6865.8019999999997</v>
      </c>
      <c r="I151" s="979">
        <v>-6681.54</v>
      </c>
      <c r="J151" s="979">
        <v>-6865.8019999999997</v>
      </c>
      <c r="K151" s="979">
        <v>-7050.2370000000001</v>
      </c>
      <c r="L151" s="979">
        <v>-6549.8789999999999</v>
      </c>
      <c r="M151" s="979">
        <v>-7111.3450000000003</v>
      </c>
      <c r="N151" s="979">
        <v>-6923.8190000000004</v>
      </c>
      <c r="O151" s="979">
        <v>-6175.2269999999999</v>
      </c>
      <c r="P151" s="979">
        <v>-7110.9809999999998</v>
      </c>
      <c r="Q151" s="979">
        <v>-6923.6959999999999</v>
      </c>
      <c r="R151" s="982">
        <v>-5988.0079999999998</v>
      </c>
    </row>
    <row r="152" spans="1:18" x14ac:dyDescent="0.25">
      <c r="A152" s="439" t="str">
        <f t="shared" si="2"/>
        <v>309500000_Result</v>
      </c>
      <c r="B152" s="1014" t="s">
        <v>1254</v>
      </c>
      <c r="C152" s="800" t="s">
        <v>1255</v>
      </c>
      <c r="D152" s="824" t="s">
        <v>1129</v>
      </c>
      <c r="E152" s="822"/>
      <c r="F152" s="980"/>
      <c r="G152" s="980">
        <v>-6865.7489999999998</v>
      </c>
      <c r="H152" s="980">
        <v>-6865.8019999999997</v>
      </c>
      <c r="I152" s="980">
        <v>-6681.54</v>
      </c>
      <c r="J152" s="980">
        <v>-6865.8019999999997</v>
      </c>
      <c r="K152" s="980">
        <v>-7050.2370000000001</v>
      </c>
      <c r="L152" s="980">
        <v>-6549.8789999999999</v>
      </c>
      <c r="M152" s="980">
        <v>-7111.3450000000003</v>
      </c>
      <c r="N152" s="980">
        <v>-6923.8190000000004</v>
      </c>
      <c r="O152" s="980">
        <v>-6175.2269999999999</v>
      </c>
      <c r="P152" s="980">
        <v>-7110.9809999999998</v>
      </c>
      <c r="Q152" s="980">
        <v>-6923.6959999999999</v>
      </c>
      <c r="R152" s="983">
        <v>-5988.0079999999998</v>
      </c>
    </row>
    <row r="153" spans="1:18" x14ac:dyDescent="0.25">
      <c r="A153" s="439" t="str">
        <f t="shared" si="2"/>
        <v>309503100_#</v>
      </c>
      <c r="B153" s="1015" t="s">
        <v>1271</v>
      </c>
      <c r="C153" s="800" t="s">
        <v>1272</v>
      </c>
      <c r="D153" s="794" t="s">
        <v>1215</v>
      </c>
      <c r="E153" s="794" t="s">
        <v>1216</v>
      </c>
      <c r="F153" s="979"/>
      <c r="G153" s="979">
        <v>-6865.7489999999998</v>
      </c>
      <c r="H153" s="979">
        <v>-6865.8019999999997</v>
      </c>
      <c r="I153" s="979">
        <v>-6681.54</v>
      </c>
      <c r="J153" s="979">
        <v>-6865.8019999999997</v>
      </c>
      <c r="K153" s="979">
        <v>-7050.2370000000001</v>
      </c>
      <c r="L153" s="979">
        <v>-6549.8789999999999</v>
      </c>
      <c r="M153" s="979">
        <v>-7111.3450000000003</v>
      </c>
      <c r="N153" s="979">
        <v>-6923.8190000000004</v>
      </c>
      <c r="O153" s="979">
        <v>-6175.2269999999999</v>
      </c>
      <c r="P153" s="979">
        <v>-7110.9809999999998</v>
      </c>
      <c r="Q153" s="979">
        <v>-6923.6959999999999</v>
      </c>
      <c r="R153" s="982">
        <v>-5988.0079999999998</v>
      </c>
    </row>
    <row r="154" spans="1:18" x14ac:dyDescent="0.25">
      <c r="A154" s="439" t="str">
        <f t="shared" si="2"/>
        <v>309503100_Result</v>
      </c>
      <c r="B154" s="1015" t="s">
        <v>1271</v>
      </c>
      <c r="C154" s="800" t="s">
        <v>1272</v>
      </c>
      <c r="D154" s="824" t="s">
        <v>1129</v>
      </c>
      <c r="E154" s="822"/>
      <c r="F154" s="980"/>
      <c r="G154" s="980">
        <v>-6865.7489999999998</v>
      </c>
      <c r="H154" s="980">
        <v>-6865.8019999999997</v>
      </c>
      <c r="I154" s="980">
        <v>-6681.54</v>
      </c>
      <c r="J154" s="980">
        <v>-6865.8019999999997</v>
      </c>
      <c r="K154" s="980">
        <v>-7050.2370000000001</v>
      </c>
      <c r="L154" s="980">
        <v>-6549.8789999999999</v>
      </c>
      <c r="M154" s="980">
        <v>-7111.3450000000003</v>
      </c>
      <c r="N154" s="980">
        <v>-6923.8190000000004</v>
      </c>
      <c r="O154" s="980">
        <v>-6175.2269999999999</v>
      </c>
      <c r="P154" s="980">
        <v>-7110.9809999999998</v>
      </c>
      <c r="Q154" s="980">
        <v>-6923.6959999999999</v>
      </c>
      <c r="R154" s="983">
        <v>-5988.0079999999998</v>
      </c>
    </row>
    <row r="155" spans="1:18" x14ac:dyDescent="0.25">
      <c r="A155" s="439" t="str">
        <f t="shared" si="2"/>
        <v>310000000_#</v>
      </c>
      <c r="B155" s="1012" t="s">
        <v>1277</v>
      </c>
      <c r="C155" s="800" t="s">
        <v>1278</v>
      </c>
      <c r="D155" s="794" t="s">
        <v>1215</v>
      </c>
      <c r="E155" s="794" t="s">
        <v>1216</v>
      </c>
      <c r="F155" s="979"/>
      <c r="G155" s="979">
        <v>-14844.708000000001</v>
      </c>
      <c r="H155" s="979">
        <v>-14844.822</v>
      </c>
      <c r="I155" s="979">
        <v>-14446.421</v>
      </c>
      <c r="J155" s="979">
        <v>-14844.822</v>
      </c>
      <c r="K155" s="979">
        <v>-15243.594999999999</v>
      </c>
      <c r="L155" s="979">
        <v>-14161.752</v>
      </c>
      <c r="M155" s="979">
        <v>-15375.721</v>
      </c>
      <c r="N155" s="979">
        <v>-14970.263000000001</v>
      </c>
      <c r="O155" s="979">
        <v>-13351.703</v>
      </c>
      <c r="P155" s="979">
        <v>-15374.933000000001</v>
      </c>
      <c r="Q155" s="979">
        <v>-14969.995999999999</v>
      </c>
      <c r="R155" s="982">
        <v>-12946.912</v>
      </c>
    </row>
    <row r="156" spans="1:18" x14ac:dyDescent="0.25">
      <c r="A156" s="439" t="str">
        <f t="shared" si="2"/>
        <v>310000000_Result</v>
      </c>
      <c r="B156" s="1012" t="s">
        <v>1277</v>
      </c>
      <c r="C156" s="800" t="s">
        <v>1278</v>
      </c>
      <c r="D156" s="824" t="s">
        <v>1129</v>
      </c>
      <c r="E156" s="822"/>
      <c r="F156" s="980"/>
      <c r="G156" s="980">
        <v>-14844.708000000001</v>
      </c>
      <c r="H156" s="980">
        <v>-14844.822</v>
      </c>
      <c r="I156" s="980">
        <v>-14446.421</v>
      </c>
      <c r="J156" s="980">
        <v>-14844.822</v>
      </c>
      <c r="K156" s="980">
        <v>-15243.594999999999</v>
      </c>
      <c r="L156" s="980">
        <v>-14161.752</v>
      </c>
      <c r="M156" s="980">
        <v>-15375.721</v>
      </c>
      <c r="N156" s="980">
        <v>-14970.263000000001</v>
      </c>
      <c r="O156" s="980">
        <v>-13351.703</v>
      </c>
      <c r="P156" s="980">
        <v>-15374.933000000001</v>
      </c>
      <c r="Q156" s="980">
        <v>-14969.995999999999</v>
      </c>
      <c r="R156" s="983">
        <v>-12946.912</v>
      </c>
    </row>
    <row r="157" spans="1:18" x14ac:dyDescent="0.25">
      <c r="A157" s="439" t="str">
        <f t="shared" si="2"/>
        <v>310003100_#</v>
      </c>
      <c r="B157" s="1013" t="s">
        <v>1279</v>
      </c>
      <c r="C157" s="800" t="s">
        <v>1280</v>
      </c>
      <c r="D157" s="794" t="s">
        <v>1215</v>
      </c>
      <c r="E157" s="794" t="s">
        <v>1216</v>
      </c>
      <c r="F157" s="979"/>
      <c r="G157" s="979">
        <v>-14844.708000000001</v>
      </c>
      <c r="H157" s="979">
        <v>-14844.822</v>
      </c>
      <c r="I157" s="979">
        <v>-14446.421</v>
      </c>
      <c r="J157" s="979">
        <v>-14844.822</v>
      </c>
      <c r="K157" s="979">
        <v>-15243.594999999999</v>
      </c>
      <c r="L157" s="979">
        <v>-14161.752</v>
      </c>
      <c r="M157" s="979">
        <v>-15375.721</v>
      </c>
      <c r="N157" s="979">
        <v>-14970.263000000001</v>
      </c>
      <c r="O157" s="979">
        <v>-13351.703</v>
      </c>
      <c r="P157" s="979">
        <v>-15374.933000000001</v>
      </c>
      <c r="Q157" s="979">
        <v>-14969.995999999999</v>
      </c>
      <c r="R157" s="982">
        <v>-12946.912</v>
      </c>
    </row>
    <row r="158" spans="1:18" x14ac:dyDescent="0.25">
      <c r="A158" s="439" t="str">
        <f t="shared" si="2"/>
        <v>310003100_Result</v>
      </c>
      <c r="B158" s="1013" t="s">
        <v>1279</v>
      </c>
      <c r="C158" s="800" t="s">
        <v>1280</v>
      </c>
      <c r="D158" s="824" t="s">
        <v>1129</v>
      </c>
      <c r="E158" s="822"/>
      <c r="F158" s="980"/>
      <c r="G158" s="980">
        <v>-14844.708000000001</v>
      </c>
      <c r="H158" s="980">
        <v>-14844.822</v>
      </c>
      <c r="I158" s="980">
        <v>-14446.421</v>
      </c>
      <c r="J158" s="980">
        <v>-14844.822</v>
      </c>
      <c r="K158" s="980">
        <v>-15243.594999999999</v>
      </c>
      <c r="L158" s="980">
        <v>-14161.752</v>
      </c>
      <c r="M158" s="980">
        <v>-15375.721</v>
      </c>
      <c r="N158" s="980">
        <v>-14970.263000000001</v>
      </c>
      <c r="O158" s="980">
        <v>-13351.703</v>
      </c>
      <c r="P158" s="980">
        <v>-15374.933000000001</v>
      </c>
      <c r="Q158" s="980">
        <v>-14969.995999999999</v>
      </c>
      <c r="R158" s="983">
        <v>-12946.912</v>
      </c>
    </row>
    <row r="159" spans="1:18" x14ac:dyDescent="0.25">
      <c r="A159" s="439" t="str">
        <f t="shared" si="2"/>
        <v>310500000_#</v>
      </c>
      <c r="B159" s="1010" t="s">
        <v>1287</v>
      </c>
      <c r="C159" s="798" t="s">
        <v>1288</v>
      </c>
      <c r="D159" s="794" t="s">
        <v>1215</v>
      </c>
      <c r="E159" s="794" t="s">
        <v>1216</v>
      </c>
      <c r="F159" s="979"/>
      <c r="G159" s="979">
        <v>-221269.07500000001</v>
      </c>
      <c r="H159" s="979">
        <v>-222653.329</v>
      </c>
      <c r="I159" s="979">
        <v>-216444.16200000001</v>
      </c>
      <c r="J159" s="979">
        <v>-206141.86499999999</v>
      </c>
      <c r="K159" s="979">
        <v>-212226.046</v>
      </c>
      <c r="L159" s="979">
        <v>-209566.73199999999</v>
      </c>
      <c r="M159" s="979">
        <v>-229967.41099999999</v>
      </c>
      <c r="N159" s="979">
        <v>-222076.22399999999</v>
      </c>
      <c r="O159" s="979">
        <v>-220803.761</v>
      </c>
      <c r="P159" s="979">
        <v>-215391.383</v>
      </c>
      <c r="Q159" s="979">
        <v>-215887.63399999999</v>
      </c>
      <c r="R159" s="982">
        <v>-214945.05</v>
      </c>
    </row>
    <row r="160" spans="1:18" x14ac:dyDescent="0.25">
      <c r="A160" s="439" t="str">
        <f t="shared" si="2"/>
        <v>310500000_Result</v>
      </c>
      <c r="B160" s="1010" t="s">
        <v>1287</v>
      </c>
      <c r="C160" s="798" t="s">
        <v>1288</v>
      </c>
      <c r="D160" s="824" t="s">
        <v>1129</v>
      </c>
      <c r="E160" s="822"/>
      <c r="F160" s="980"/>
      <c r="G160" s="980">
        <v>-221269.07500000001</v>
      </c>
      <c r="H160" s="980">
        <v>-222653.329</v>
      </c>
      <c r="I160" s="980">
        <v>-216444.16200000001</v>
      </c>
      <c r="J160" s="980">
        <v>-206141.86499999999</v>
      </c>
      <c r="K160" s="980">
        <v>-212226.046</v>
      </c>
      <c r="L160" s="980">
        <v>-209566.73199999999</v>
      </c>
      <c r="M160" s="980">
        <v>-229967.41099999999</v>
      </c>
      <c r="N160" s="980">
        <v>-222076.22399999999</v>
      </c>
      <c r="O160" s="980">
        <v>-220803.761</v>
      </c>
      <c r="P160" s="980">
        <v>-215391.383</v>
      </c>
      <c r="Q160" s="980">
        <v>-215887.63399999999</v>
      </c>
      <c r="R160" s="983">
        <v>-214945.05</v>
      </c>
    </row>
    <row r="161" spans="1:18" x14ac:dyDescent="0.25">
      <c r="A161" s="439" t="str">
        <f t="shared" si="2"/>
        <v>310501100_#</v>
      </c>
      <c r="B161" s="601" t="s">
        <v>1289</v>
      </c>
      <c r="C161" s="825" t="s">
        <v>836</v>
      </c>
      <c r="D161" s="794" t="s">
        <v>1215</v>
      </c>
      <c r="E161" s="794" t="s">
        <v>1216</v>
      </c>
      <c r="F161" s="979"/>
      <c r="G161" s="979">
        <v>-159314.158</v>
      </c>
      <c r="H161" s="979">
        <v>-160632.56400000001</v>
      </c>
      <c r="I161" s="979">
        <v>-155687.80900000001</v>
      </c>
      <c r="J161" s="979">
        <v>-147360.992</v>
      </c>
      <c r="K161" s="979">
        <v>-150509.35699999999</v>
      </c>
      <c r="L161" s="979">
        <v>-148156.54800000001</v>
      </c>
      <c r="M161" s="979">
        <v>-161522.277</v>
      </c>
      <c r="N161" s="979">
        <v>-158940.429</v>
      </c>
      <c r="O161" s="979">
        <v>-158670.06299999999</v>
      </c>
      <c r="P161" s="979">
        <v>-150420.29199999999</v>
      </c>
      <c r="Q161" s="979">
        <v>-152659.01800000001</v>
      </c>
      <c r="R161" s="982">
        <v>-151145.37100000001</v>
      </c>
    </row>
    <row r="162" spans="1:18" x14ac:dyDescent="0.25">
      <c r="A162" s="439" t="str">
        <f t="shared" si="2"/>
        <v>310501100_Result</v>
      </c>
      <c r="B162" s="601" t="s">
        <v>1289</v>
      </c>
      <c r="C162" s="825" t="s">
        <v>836</v>
      </c>
      <c r="D162" s="824" t="s">
        <v>1129</v>
      </c>
      <c r="E162" s="822"/>
      <c r="F162" s="980"/>
      <c r="G162" s="980">
        <v>-159314.158</v>
      </c>
      <c r="H162" s="980">
        <v>-160632.56400000001</v>
      </c>
      <c r="I162" s="980">
        <v>-155687.80900000001</v>
      </c>
      <c r="J162" s="980">
        <v>-147360.992</v>
      </c>
      <c r="K162" s="980">
        <v>-150509.35699999999</v>
      </c>
      <c r="L162" s="980">
        <v>-148156.54800000001</v>
      </c>
      <c r="M162" s="980">
        <v>-161522.277</v>
      </c>
      <c r="N162" s="980">
        <v>-158940.429</v>
      </c>
      <c r="O162" s="980">
        <v>-158670.06299999999</v>
      </c>
      <c r="P162" s="980">
        <v>-150420.29199999999</v>
      </c>
      <c r="Q162" s="980">
        <v>-152659.01800000001</v>
      </c>
      <c r="R162" s="983">
        <v>-151145.37100000001</v>
      </c>
    </row>
    <row r="163" spans="1:18" x14ac:dyDescent="0.25">
      <c r="A163" s="439" t="str">
        <f t="shared" si="2"/>
        <v>310501600_#</v>
      </c>
      <c r="B163" s="601" t="s">
        <v>1290</v>
      </c>
      <c r="C163" s="825" t="s">
        <v>1291</v>
      </c>
      <c r="D163" s="794" t="s">
        <v>1215</v>
      </c>
      <c r="E163" s="794" t="s">
        <v>1216</v>
      </c>
      <c r="F163" s="979"/>
      <c r="G163" s="979">
        <v>-27062.708999999999</v>
      </c>
      <c r="H163" s="979">
        <v>-26637.886999999999</v>
      </c>
      <c r="I163" s="979">
        <v>-25382.144</v>
      </c>
      <c r="J163" s="979">
        <v>-24348.285</v>
      </c>
      <c r="K163" s="979">
        <v>-24956.33</v>
      </c>
      <c r="L163" s="979">
        <v>-24961.858</v>
      </c>
      <c r="M163" s="979">
        <v>-28187.463</v>
      </c>
      <c r="N163" s="979">
        <v>-26668.152999999998</v>
      </c>
      <c r="O163" s="979">
        <v>-26945.416000000001</v>
      </c>
      <c r="P163" s="979">
        <v>-27826.287</v>
      </c>
      <c r="Q163" s="979">
        <v>-27678.127</v>
      </c>
      <c r="R163" s="982">
        <v>-27847.616000000002</v>
      </c>
    </row>
    <row r="164" spans="1:18" x14ac:dyDescent="0.25">
      <c r="A164" s="439" t="str">
        <f t="shared" si="2"/>
        <v>310501600_Result</v>
      </c>
      <c r="B164" s="601" t="s">
        <v>1290</v>
      </c>
      <c r="C164" s="825" t="s">
        <v>1291</v>
      </c>
      <c r="D164" s="824" t="s">
        <v>1129</v>
      </c>
      <c r="E164" s="822"/>
      <c r="F164" s="980"/>
      <c r="G164" s="980">
        <v>-27062.708999999999</v>
      </c>
      <c r="H164" s="980">
        <v>-26637.886999999999</v>
      </c>
      <c r="I164" s="980">
        <v>-25382.144</v>
      </c>
      <c r="J164" s="980">
        <v>-24348.285</v>
      </c>
      <c r="K164" s="980">
        <v>-24956.33</v>
      </c>
      <c r="L164" s="980">
        <v>-24961.858</v>
      </c>
      <c r="M164" s="980">
        <v>-28187.463</v>
      </c>
      <c r="N164" s="980">
        <v>-26668.152999999998</v>
      </c>
      <c r="O164" s="980">
        <v>-26945.416000000001</v>
      </c>
      <c r="P164" s="980">
        <v>-27826.287</v>
      </c>
      <c r="Q164" s="980">
        <v>-27678.127</v>
      </c>
      <c r="R164" s="983">
        <v>-27847.616000000002</v>
      </c>
    </row>
    <row r="165" spans="1:18" x14ac:dyDescent="0.25">
      <c r="A165" s="439" t="str">
        <f t="shared" si="2"/>
        <v>310502100_#</v>
      </c>
      <c r="B165" s="601" t="s">
        <v>1292</v>
      </c>
      <c r="C165" s="825" t="s">
        <v>1293</v>
      </c>
      <c r="D165" s="794" t="s">
        <v>1215</v>
      </c>
      <c r="E165" s="794" t="s">
        <v>1216</v>
      </c>
      <c r="F165" s="979"/>
      <c r="G165" s="979">
        <v>-18943.753000000001</v>
      </c>
      <c r="H165" s="979">
        <v>-19434.422999999999</v>
      </c>
      <c r="I165" s="979">
        <v>-19840.422999999999</v>
      </c>
      <c r="J165" s="979">
        <v>-18484.133000000002</v>
      </c>
      <c r="K165" s="979">
        <v>-20397.235000000001</v>
      </c>
      <c r="L165" s="979">
        <v>-21329.21</v>
      </c>
      <c r="M165" s="979">
        <v>-23894.546999999999</v>
      </c>
      <c r="N165" s="979">
        <v>-20519.955999999998</v>
      </c>
      <c r="O165" s="979">
        <v>-20900.056</v>
      </c>
      <c r="P165" s="979">
        <v>-20783.232</v>
      </c>
      <c r="Q165" s="979">
        <v>-19603.585999999999</v>
      </c>
      <c r="R165" s="982">
        <v>-22078.508000000002</v>
      </c>
    </row>
    <row r="166" spans="1:18" x14ac:dyDescent="0.25">
      <c r="A166" s="439" t="str">
        <f t="shared" si="2"/>
        <v>310502100_Result</v>
      </c>
      <c r="B166" s="601" t="s">
        <v>1292</v>
      </c>
      <c r="C166" s="825" t="s">
        <v>1293</v>
      </c>
      <c r="D166" s="824" t="s">
        <v>1129</v>
      </c>
      <c r="E166" s="822"/>
      <c r="F166" s="980"/>
      <c r="G166" s="980">
        <v>-18943.753000000001</v>
      </c>
      <c r="H166" s="980">
        <v>-19434.422999999999</v>
      </c>
      <c r="I166" s="980">
        <v>-19840.422999999999</v>
      </c>
      <c r="J166" s="980">
        <v>-18484.133000000002</v>
      </c>
      <c r="K166" s="980">
        <v>-20397.235000000001</v>
      </c>
      <c r="L166" s="980">
        <v>-21329.21</v>
      </c>
      <c r="M166" s="980">
        <v>-23894.546999999999</v>
      </c>
      <c r="N166" s="980">
        <v>-20519.955999999998</v>
      </c>
      <c r="O166" s="980">
        <v>-20900.056</v>
      </c>
      <c r="P166" s="980">
        <v>-20783.232</v>
      </c>
      <c r="Q166" s="980">
        <v>-19603.585999999999</v>
      </c>
      <c r="R166" s="983">
        <v>-22078.508000000002</v>
      </c>
    </row>
    <row r="167" spans="1:18" x14ac:dyDescent="0.25">
      <c r="A167" s="439" t="str">
        <f t="shared" si="2"/>
        <v>310503100_#</v>
      </c>
      <c r="B167" s="601" t="s">
        <v>1294</v>
      </c>
      <c r="C167" s="825" t="s">
        <v>461</v>
      </c>
      <c r="D167" s="794" t="s">
        <v>1215</v>
      </c>
      <c r="E167" s="794" t="s">
        <v>1216</v>
      </c>
      <c r="F167" s="979"/>
      <c r="G167" s="979">
        <v>-15948.455</v>
      </c>
      <c r="H167" s="979">
        <v>-15948.455</v>
      </c>
      <c r="I167" s="979">
        <v>-15533.786</v>
      </c>
      <c r="J167" s="979">
        <v>-15948.455</v>
      </c>
      <c r="K167" s="979">
        <v>-16363.124</v>
      </c>
      <c r="L167" s="979">
        <v>-15119.116</v>
      </c>
      <c r="M167" s="979">
        <v>-16363.124</v>
      </c>
      <c r="N167" s="979">
        <v>-15947.686</v>
      </c>
      <c r="O167" s="979">
        <v>-14288.226000000001</v>
      </c>
      <c r="P167" s="979">
        <v>-16361.572</v>
      </c>
      <c r="Q167" s="979">
        <v>-15946.903</v>
      </c>
      <c r="R167" s="982">
        <v>-13873.555</v>
      </c>
    </row>
    <row r="168" spans="1:18" x14ac:dyDescent="0.25">
      <c r="A168" s="439" t="str">
        <f t="shared" si="2"/>
        <v>310503100_Result</v>
      </c>
      <c r="B168" s="601" t="s">
        <v>1294</v>
      </c>
      <c r="C168" s="825" t="s">
        <v>461</v>
      </c>
      <c r="D168" s="824" t="s">
        <v>1129</v>
      </c>
      <c r="E168" s="822"/>
      <c r="F168" s="980"/>
      <c r="G168" s="980">
        <v>-15948.455</v>
      </c>
      <c r="H168" s="980">
        <v>-15948.455</v>
      </c>
      <c r="I168" s="980">
        <v>-15533.786</v>
      </c>
      <c r="J168" s="980">
        <v>-15948.455</v>
      </c>
      <c r="K168" s="980">
        <v>-16363.124</v>
      </c>
      <c r="L168" s="980">
        <v>-15119.116</v>
      </c>
      <c r="M168" s="980">
        <v>-16363.124</v>
      </c>
      <c r="N168" s="980">
        <v>-15947.686</v>
      </c>
      <c r="O168" s="980">
        <v>-14288.226000000001</v>
      </c>
      <c r="P168" s="980">
        <v>-16361.572</v>
      </c>
      <c r="Q168" s="980">
        <v>-15946.903</v>
      </c>
      <c r="R168" s="983">
        <v>-13873.555</v>
      </c>
    </row>
    <row r="169" spans="1:18" x14ac:dyDescent="0.25">
      <c r="A169" s="439" t="str">
        <f t="shared" si="2"/>
        <v>311500000_#</v>
      </c>
      <c r="B169" s="1009" t="s">
        <v>1300</v>
      </c>
      <c r="C169" s="797" t="s">
        <v>854</v>
      </c>
      <c r="D169" s="794" t="s">
        <v>1215</v>
      </c>
      <c r="E169" s="794" t="s">
        <v>1216</v>
      </c>
      <c r="F169" s="979"/>
      <c r="G169" s="979">
        <v>-151133.149</v>
      </c>
      <c r="H169" s="979">
        <v>-151133.149</v>
      </c>
      <c r="I169" s="979">
        <v>-151133.149</v>
      </c>
      <c r="J169" s="979">
        <v>-151133.149</v>
      </c>
      <c r="K169" s="979">
        <v>-151133.149</v>
      </c>
      <c r="L169" s="979">
        <v>-151133.149</v>
      </c>
      <c r="M169" s="979">
        <v>-151133.149</v>
      </c>
      <c r="N169" s="979">
        <v>-151133.149</v>
      </c>
      <c r="O169" s="979">
        <v>-151133.149</v>
      </c>
      <c r="P169" s="979">
        <v>-151133.149</v>
      </c>
      <c r="Q169" s="979">
        <v>-151133.149</v>
      </c>
      <c r="R169" s="982">
        <v>-151133.149</v>
      </c>
    </row>
    <row r="170" spans="1:18" x14ac:dyDescent="0.25">
      <c r="A170" s="439" t="str">
        <f t="shared" si="2"/>
        <v>311500000_Result</v>
      </c>
      <c r="B170" s="1009" t="s">
        <v>1300</v>
      </c>
      <c r="C170" s="797" t="s">
        <v>854</v>
      </c>
      <c r="D170" s="824" t="s">
        <v>1129</v>
      </c>
      <c r="E170" s="822"/>
      <c r="F170" s="980"/>
      <c r="G170" s="980">
        <v>-151133.149</v>
      </c>
      <c r="H170" s="980">
        <v>-151133.149</v>
      </c>
      <c r="I170" s="980">
        <v>-151133.149</v>
      </c>
      <c r="J170" s="980">
        <v>-151133.149</v>
      </c>
      <c r="K170" s="980">
        <v>-151133.149</v>
      </c>
      <c r="L170" s="980">
        <v>-151133.149</v>
      </c>
      <c r="M170" s="980">
        <v>-151133.149</v>
      </c>
      <c r="N170" s="980">
        <v>-151133.149</v>
      </c>
      <c r="O170" s="980">
        <v>-151133.149</v>
      </c>
      <c r="P170" s="980">
        <v>-151133.149</v>
      </c>
      <c r="Q170" s="980">
        <v>-151133.149</v>
      </c>
      <c r="R170" s="983">
        <v>-151133.149</v>
      </c>
    </row>
    <row r="171" spans="1:18" x14ac:dyDescent="0.25">
      <c r="A171" s="439" t="str">
        <f t="shared" si="2"/>
        <v>311503100_#</v>
      </c>
      <c r="B171" s="1016" t="s">
        <v>1301</v>
      </c>
      <c r="C171" s="798" t="s">
        <v>1302</v>
      </c>
      <c r="D171" s="794" t="s">
        <v>1215</v>
      </c>
      <c r="E171" s="794" t="s">
        <v>1216</v>
      </c>
      <c r="F171" s="979"/>
      <c r="G171" s="979">
        <v>-151133.149</v>
      </c>
      <c r="H171" s="979">
        <v>-151133.149</v>
      </c>
      <c r="I171" s="979">
        <v>-151133.149</v>
      </c>
      <c r="J171" s="979">
        <v>-151133.149</v>
      </c>
      <c r="K171" s="979">
        <v>-151133.149</v>
      </c>
      <c r="L171" s="979">
        <v>-151133.149</v>
      </c>
      <c r="M171" s="979">
        <v>-151133.149</v>
      </c>
      <c r="N171" s="979">
        <v>-151133.149</v>
      </c>
      <c r="O171" s="979">
        <v>-151133.149</v>
      </c>
      <c r="P171" s="979">
        <v>-151133.149</v>
      </c>
      <c r="Q171" s="979">
        <v>-151133.149</v>
      </c>
      <c r="R171" s="982">
        <v>-151133.149</v>
      </c>
    </row>
    <row r="172" spans="1:18" x14ac:dyDescent="0.25">
      <c r="A172" s="439" t="str">
        <f t="shared" si="2"/>
        <v>311503100_Result</v>
      </c>
      <c r="B172" s="1016" t="s">
        <v>1301</v>
      </c>
      <c r="C172" s="798" t="s">
        <v>1302</v>
      </c>
      <c r="D172" s="824" t="s">
        <v>1129</v>
      </c>
      <c r="E172" s="822"/>
      <c r="F172" s="980"/>
      <c r="G172" s="980">
        <v>-151133.149</v>
      </c>
      <c r="H172" s="980">
        <v>-151133.149</v>
      </c>
      <c r="I172" s="980">
        <v>-151133.149</v>
      </c>
      <c r="J172" s="980">
        <v>-151133.149</v>
      </c>
      <c r="K172" s="980">
        <v>-151133.149</v>
      </c>
      <c r="L172" s="980">
        <v>-151133.149</v>
      </c>
      <c r="M172" s="980">
        <v>-151133.149</v>
      </c>
      <c r="N172" s="980">
        <v>-151133.149</v>
      </c>
      <c r="O172" s="980">
        <v>-151133.149</v>
      </c>
      <c r="P172" s="980">
        <v>-151133.149</v>
      </c>
      <c r="Q172" s="980">
        <v>-151133.149</v>
      </c>
      <c r="R172" s="983">
        <v>-151133.149</v>
      </c>
    </row>
    <row r="173" spans="1:18" x14ac:dyDescent="0.25">
      <c r="A173" s="439" t="str">
        <f t="shared" si="2"/>
        <v>312000000_#</v>
      </c>
      <c r="B173" s="1009" t="s">
        <v>1304</v>
      </c>
      <c r="C173" s="797" t="s">
        <v>1305</v>
      </c>
      <c r="D173" s="794" t="s">
        <v>1215</v>
      </c>
      <c r="E173" s="794" t="s">
        <v>1216</v>
      </c>
      <c r="F173" s="979"/>
      <c r="G173" s="979">
        <v>-30636.366999999998</v>
      </c>
      <c r="H173" s="979">
        <v>-29758.786</v>
      </c>
      <c r="I173" s="979">
        <v>-29343.991000000002</v>
      </c>
      <c r="J173" s="979">
        <v>-28313.891</v>
      </c>
      <c r="K173" s="979">
        <v>-28908.937000000002</v>
      </c>
      <c r="L173" s="979">
        <v>-28583.066999999999</v>
      </c>
      <c r="M173" s="979">
        <v>-30521.702000000001</v>
      </c>
      <c r="N173" s="979">
        <v>-29049.241000000002</v>
      </c>
      <c r="O173" s="979">
        <v>-29315.136999999999</v>
      </c>
      <c r="P173" s="979">
        <v>-28554.202000000001</v>
      </c>
      <c r="Q173" s="979">
        <v>-28861.21</v>
      </c>
      <c r="R173" s="982">
        <v>-28826.367999999999</v>
      </c>
    </row>
    <row r="174" spans="1:18" x14ac:dyDescent="0.25">
      <c r="A174" s="439" t="str">
        <f t="shared" si="2"/>
        <v>312000000_Result</v>
      </c>
      <c r="B174" s="1009" t="s">
        <v>1304</v>
      </c>
      <c r="C174" s="797" t="s">
        <v>1305</v>
      </c>
      <c r="D174" s="824" t="s">
        <v>1129</v>
      </c>
      <c r="E174" s="822"/>
      <c r="F174" s="980"/>
      <c r="G174" s="980">
        <v>-30636.366999999998</v>
      </c>
      <c r="H174" s="980">
        <v>-29758.786</v>
      </c>
      <c r="I174" s="980">
        <v>-29343.991000000002</v>
      </c>
      <c r="J174" s="980">
        <v>-28313.891</v>
      </c>
      <c r="K174" s="980">
        <v>-28908.937000000002</v>
      </c>
      <c r="L174" s="980">
        <v>-28583.066999999999</v>
      </c>
      <c r="M174" s="980">
        <v>-30521.702000000001</v>
      </c>
      <c r="N174" s="980">
        <v>-29049.241000000002</v>
      </c>
      <c r="O174" s="980">
        <v>-29315.136999999999</v>
      </c>
      <c r="P174" s="980">
        <v>-28554.202000000001</v>
      </c>
      <c r="Q174" s="980">
        <v>-28861.21</v>
      </c>
      <c r="R174" s="983">
        <v>-28826.367999999999</v>
      </c>
    </row>
    <row r="175" spans="1:18" x14ac:dyDescent="0.25">
      <c r="A175" s="439" t="str">
        <f t="shared" si="2"/>
        <v>312001100_#</v>
      </c>
      <c r="B175" s="1016" t="s">
        <v>1306</v>
      </c>
      <c r="C175" s="798" t="s">
        <v>886</v>
      </c>
      <c r="D175" s="794" t="s">
        <v>1215</v>
      </c>
      <c r="E175" s="794" t="s">
        <v>1216</v>
      </c>
      <c r="F175" s="979"/>
      <c r="G175" s="979">
        <v>-19326.805</v>
      </c>
      <c r="H175" s="979">
        <v>-19326.805</v>
      </c>
      <c r="I175" s="979">
        <v>-19326.805</v>
      </c>
      <c r="J175" s="979">
        <v>-19326.805</v>
      </c>
      <c r="K175" s="979">
        <v>-19326.805</v>
      </c>
      <c r="L175" s="979">
        <v>-19326.805</v>
      </c>
      <c r="M175" s="979">
        <v>-19326.805</v>
      </c>
      <c r="N175" s="979">
        <v>-19326.805</v>
      </c>
      <c r="O175" s="979">
        <v>-19326.805</v>
      </c>
      <c r="P175" s="979">
        <v>-19326.805</v>
      </c>
      <c r="Q175" s="979">
        <v>-19326.805</v>
      </c>
      <c r="R175" s="982">
        <v>-19326.805</v>
      </c>
    </row>
    <row r="176" spans="1:18" x14ac:dyDescent="0.25">
      <c r="A176" s="439" t="str">
        <f t="shared" si="2"/>
        <v>312001100_Result</v>
      </c>
      <c r="B176" s="1016" t="s">
        <v>1306</v>
      </c>
      <c r="C176" s="798" t="s">
        <v>886</v>
      </c>
      <c r="D176" s="824" t="s">
        <v>1129</v>
      </c>
      <c r="E176" s="822"/>
      <c r="F176" s="980"/>
      <c r="G176" s="980">
        <v>-19326.805</v>
      </c>
      <c r="H176" s="980">
        <v>-19326.805</v>
      </c>
      <c r="I176" s="980">
        <v>-19326.805</v>
      </c>
      <c r="J176" s="980">
        <v>-19326.805</v>
      </c>
      <c r="K176" s="980">
        <v>-19326.805</v>
      </c>
      <c r="L176" s="980">
        <v>-19326.805</v>
      </c>
      <c r="M176" s="980">
        <v>-19326.805</v>
      </c>
      <c r="N176" s="980">
        <v>-19326.805</v>
      </c>
      <c r="O176" s="980">
        <v>-19326.805</v>
      </c>
      <c r="P176" s="980">
        <v>-19326.805</v>
      </c>
      <c r="Q176" s="980">
        <v>-19326.805</v>
      </c>
      <c r="R176" s="983">
        <v>-19326.805</v>
      </c>
    </row>
    <row r="177" spans="1:18" x14ac:dyDescent="0.25">
      <c r="A177" s="439" t="str">
        <f t="shared" si="2"/>
        <v>312001600_#</v>
      </c>
      <c r="B177" s="1016" t="s">
        <v>1307</v>
      </c>
      <c r="C177" s="798" t="s">
        <v>888</v>
      </c>
      <c r="D177" s="794" t="s">
        <v>1215</v>
      </c>
      <c r="E177" s="794" t="s">
        <v>1216</v>
      </c>
      <c r="F177" s="979"/>
      <c r="G177" s="979">
        <v>-1252.7239999999999</v>
      </c>
      <c r="H177" s="979">
        <v>-1252.7239999999999</v>
      </c>
      <c r="I177" s="979">
        <v>-1252.7239999999999</v>
      </c>
      <c r="J177" s="979">
        <v>-1252.7239999999999</v>
      </c>
      <c r="K177" s="979">
        <v>-1252.7239999999999</v>
      </c>
      <c r="L177" s="979">
        <v>-1252.7239999999999</v>
      </c>
      <c r="M177" s="979">
        <v>-1252.7239999999999</v>
      </c>
      <c r="N177" s="979">
        <v>-1252.7239999999999</v>
      </c>
      <c r="O177" s="979">
        <v>-1252.7239999999999</v>
      </c>
      <c r="P177" s="979">
        <v>-1252.7239999999999</v>
      </c>
      <c r="Q177" s="979">
        <v>-1252.7239999999999</v>
      </c>
      <c r="R177" s="982">
        <v>-1252.7239999999999</v>
      </c>
    </row>
    <row r="178" spans="1:18" x14ac:dyDescent="0.25">
      <c r="A178" s="439" t="str">
        <f t="shared" si="2"/>
        <v>312001600_Result</v>
      </c>
      <c r="B178" s="1016" t="s">
        <v>1307</v>
      </c>
      <c r="C178" s="798" t="s">
        <v>888</v>
      </c>
      <c r="D178" s="824" t="s">
        <v>1129</v>
      </c>
      <c r="E178" s="822"/>
      <c r="F178" s="980"/>
      <c r="G178" s="980">
        <v>-1252.7239999999999</v>
      </c>
      <c r="H178" s="980">
        <v>-1252.7239999999999</v>
      </c>
      <c r="I178" s="980">
        <v>-1252.7239999999999</v>
      </c>
      <c r="J178" s="980">
        <v>-1252.7239999999999</v>
      </c>
      <c r="K178" s="980">
        <v>-1252.7239999999999</v>
      </c>
      <c r="L178" s="980">
        <v>-1252.7239999999999</v>
      </c>
      <c r="M178" s="980">
        <v>-1252.7239999999999</v>
      </c>
      <c r="N178" s="980">
        <v>-1252.7239999999999</v>
      </c>
      <c r="O178" s="980">
        <v>-1252.7239999999999</v>
      </c>
      <c r="P178" s="980">
        <v>-1252.7239999999999</v>
      </c>
      <c r="Q178" s="980">
        <v>-1252.7239999999999</v>
      </c>
      <c r="R178" s="983">
        <v>-1252.7239999999999</v>
      </c>
    </row>
    <row r="179" spans="1:18" x14ac:dyDescent="0.25">
      <c r="A179" s="439" t="str">
        <f t="shared" si="2"/>
        <v>312002100_#</v>
      </c>
      <c r="B179" s="1016" t="s">
        <v>1308</v>
      </c>
      <c r="C179" s="798" t="s">
        <v>473</v>
      </c>
      <c r="D179" s="794" t="s">
        <v>1215</v>
      </c>
      <c r="E179" s="794" t="s">
        <v>1216</v>
      </c>
      <c r="F179" s="979"/>
      <c r="G179" s="979">
        <v>-10056.838</v>
      </c>
      <c r="H179" s="979">
        <v>-9179.2569999999996</v>
      </c>
      <c r="I179" s="979">
        <v>-8764.4619999999995</v>
      </c>
      <c r="J179" s="979">
        <v>-7734.3620000000001</v>
      </c>
      <c r="K179" s="979">
        <v>-8329.4079999999994</v>
      </c>
      <c r="L179" s="979">
        <v>-8003.5379999999996</v>
      </c>
      <c r="M179" s="979">
        <v>-9942.1730000000007</v>
      </c>
      <c r="N179" s="979">
        <v>-8469.7119999999995</v>
      </c>
      <c r="O179" s="979">
        <v>-8735.6080000000002</v>
      </c>
      <c r="P179" s="979">
        <v>-7974.6729999999998</v>
      </c>
      <c r="Q179" s="979">
        <v>-8281.6810000000005</v>
      </c>
      <c r="R179" s="982">
        <v>-8246.8389999999999</v>
      </c>
    </row>
    <row r="180" spans="1:18" x14ac:dyDescent="0.25">
      <c r="A180" s="439" t="str">
        <f t="shared" si="2"/>
        <v>312002100_Result</v>
      </c>
      <c r="B180" s="1016" t="s">
        <v>1308</v>
      </c>
      <c r="C180" s="798" t="s">
        <v>473</v>
      </c>
      <c r="D180" s="824" t="s">
        <v>1129</v>
      </c>
      <c r="E180" s="822"/>
      <c r="F180" s="980"/>
      <c r="G180" s="980">
        <v>-10056.838</v>
      </c>
      <c r="H180" s="980">
        <v>-9179.2569999999996</v>
      </c>
      <c r="I180" s="980">
        <v>-8764.4619999999995</v>
      </c>
      <c r="J180" s="980">
        <v>-7734.3620000000001</v>
      </c>
      <c r="K180" s="980">
        <v>-8329.4079999999994</v>
      </c>
      <c r="L180" s="980">
        <v>-8003.5379999999996</v>
      </c>
      <c r="M180" s="980">
        <v>-9942.1730000000007</v>
      </c>
      <c r="N180" s="980">
        <v>-8469.7119999999995</v>
      </c>
      <c r="O180" s="980">
        <v>-8735.6080000000002</v>
      </c>
      <c r="P180" s="980">
        <v>-7974.6729999999998</v>
      </c>
      <c r="Q180" s="980">
        <v>-8281.6810000000005</v>
      </c>
      <c r="R180" s="983">
        <v>-8246.8389999999999</v>
      </c>
    </row>
    <row r="181" spans="1:18" x14ac:dyDescent="0.25">
      <c r="A181" s="439" t="str">
        <f t="shared" si="2"/>
        <v>312200000_#</v>
      </c>
      <c r="B181" s="1009" t="s">
        <v>1309</v>
      </c>
      <c r="C181" s="797" t="s">
        <v>1310</v>
      </c>
      <c r="D181" s="794" t="s">
        <v>1215</v>
      </c>
      <c r="E181" s="794" t="s">
        <v>1216</v>
      </c>
      <c r="F181" s="979"/>
      <c r="G181" s="979">
        <v>-50061.857000000004</v>
      </c>
      <c r="H181" s="979">
        <v>-38437.798000000003</v>
      </c>
      <c r="I181" s="979">
        <v>-38754.790999999997</v>
      </c>
      <c r="J181" s="979">
        <v>-38065.972999999998</v>
      </c>
      <c r="K181" s="979">
        <v>-38147.49</v>
      </c>
      <c r="L181" s="979">
        <v>-38270.991999999998</v>
      </c>
      <c r="M181" s="979">
        <v>-39015.671999999999</v>
      </c>
      <c r="N181" s="979">
        <v>-38465.421999999999</v>
      </c>
      <c r="O181" s="979">
        <v>-38541.75</v>
      </c>
      <c r="P181" s="979">
        <v>-38199.641000000003</v>
      </c>
      <c r="Q181" s="979">
        <v>-38245.663999999997</v>
      </c>
      <c r="R181" s="982">
        <v>-38484.125999999997</v>
      </c>
    </row>
    <row r="182" spans="1:18" x14ac:dyDescent="0.25">
      <c r="A182" s="439" t="str">
        <f t="shared" si="2"/>
        <v>312200000_Result</v>
      </c>
      <c r="B182" s="1009" t="s">
        <v>1309</v>
      </c>
      <c r="C182" s="797" t="s">
        <v>1310</v>
      </c>
      <c r="D182" s="824" t="s">
        <v>1129</v>
      </c>
      <c r="E182" s="822"/>
      <c r="F182" s="980"/>
      <c r="G182" s="980">
        <v>-50061.857000000004</v>
      </c>
      <c r="H182" s="980">
        <v>-38437.798000000003</v>
      </c>
      <c r="I182" s="980">
        <v>-38754.790999999997</v>
      </c>
      <c r="J182" s="980">
        <v>-38065.972999999998</v>
      </c>
      <c r="K182" s="980">
        <v>-38147.49</v>
      </c>
      <c r="L182" s="980">
        <v>-38270.991999999998</v>
      </c>
      <c r="M182" s="980">
        <v>-39015.671999999999</v>
      </c>
      <c r="N182" s="980">
        <v>-38465.421999999999</v>
      </c>
      <c r="O182" s="980">
        <v>-38541.75</v>
      </c>
      <c r="P182" s="980">
        <v>-38199.641000000003</v>
      </c>
      <c r="Q182" s="980">
        <v>-38245.663999999997</v>
      </c>
      <c r="R182" s="983">
        <v>-38484.125999999997</v>
      </c>
    </row>
    <row r="183" spans="1:18" x14ac:dyDescent="0.25">
      <c r="A183" s="439" t="str">
        <f t="shared" si="2"/>
        <v>312201100_#</v>
      </c>
      <c r="B183" s="1016" t="s">
        <v>1311</v>
      </c>
      <c r="C183" s="798" t="s">
        <v>1312</v>
      </c>
      <c r="D183" s="794" t="s">
        <v>1215</v>
      </c>
      <c r="E183" s="794" t="s">
        <v>1216</v>
      </c>
      <c r="F183" s="979"/>
      <c r="G183" s="979">
        <v>-50061.857000000004</v>
      </c>
      <c r="H183" s="979">
        <v>-38437.798000000003</v>
      </c>
      <c r="I183" s="979">
        <v>-38754.790999999997</v>
      </c>
      <c r="J183" s="979">
        <v>-38065.972999999998</v>
      </c>
      <c r="K183" s="979">
        <v>-38147.49</v>
      </c>
      <c r="L183" s="979">
        <v>-38270.991999999998</v>
      </c>
      <c r="M183" s="979">
        <v>-39015.671999999999</v>
      </c>
      <c r="N183" s="979">
        <v>-38465.421999999999</v>
      </c>
      <c r="O183" s="979">
        <v>-38541.75</v>
      </c>
      <c r="P183" s="979">
        <v>-38199.641000000003</v>
      </c>
      <c r="Q183" s="979">
        <v>-38245.663999999997</v>
      </c>
      <c r="R183" s="982">
        <v>-38484.125999999997</v>
      </c>
    </row>
    <row r="184" spans="1:18" x14ac:dyDescent="0.25">
      <c r="A184" s="439" t="str">
        <f t="shared" si="2"/>
        <v>312201100_Result</v>
      </c>
      <c r="B184" s="1016" t="s">
        <v>1311</v>
      </c>
      <c r="C184" s="798" t="s">
        <v>1312</v>
      </c>
      <c r="D184" s="824" t="s">
        <v>1129</v>
      </c>
      <c r="E184" s="822"/>
      <c r="F184" s="980"/>
      <c r="G184" s="980">
        <v>-50061.857000000004</v>
      </c>
      <c r="H184" s="980">
        <v>-38437.798000000003</v>
      </c>
      <c r="I184" s="980">
        <v>-38754.790999999997</v>
      </c>
      <c r="J184" s="980">
        <v>-38065.972999999998</v>
      </c>
      <c r="K184" s="980">
        <v>-38147.49</v>
      </c>
      <c r="L184" s="980">
        <v>-38270.991999999998</v>
      </c>
      <c r="M184" s="980">
        <v>-39015.671999999999</v>
      </c>
      <c r="N184" s="980">
        <v>-38465.421999999999</v>
      </c>
      <c r="O184" s="980">
        <v>-38541.75</v>
      </c>
      <c r="P184" s="980">
        <v>-38199.641000000003</v>
      </c>
      <c r="Q184" s="980">
        <v>-38245.663999999997</v>
      </c>
      <c r="R184" s="983">
        <v>-38484.125999999997</v>
      </c>
    </row>
    <row r="185" spans="1:18" x14ac:dyDescent="0.25">
      <c r="A185" s="439" t="str">
        <f t="shared" si="2"/>
        <v>CO-010000000_#</v>
      </c>
      <c r="B185" s="1005" t="s">
        <v>1335</v>
      </c>
      <c r="C185" s="795" t="s">
        <v>1336</v>
      </c>
      <c r="D185" s="794" t="s">
        <v>1215</v>
      </c>
      <c r="E185" s="794" t="s">
        <v>1216</v>
      </c>
      <c r="F185" s="979"/>
      <c r="G185" s="979">
        <v>31</v>
      </c>
      <c r="H185" s="979"/>
      <c r="I185" s="979"/>
      <c r="J185" s="979"/>
      <c r="K185" s="979"/>
      <c r="L185" s="979"/>
      <c r="M185" s="979"/>
      <c r="N185" s="979"/>
      <c r="O185" s="979"/>
      <c r="P185" s="979"/>
      <c r="Q185" s="979"/>
      <c r="R185" s="982"/>
    </row>
    <row r="186" spans="1:18" x14ac:dyDescent="0.25">
      <c r="A186" s="439" t="str">
        <f t="shared" si="2"/>
        <v>CO-010000000_Result</v>
      </c>
      <c r="B186" s="1005" t="s">
        <v>1335</v>
      </c>
      <c r="C186" s="795" t="s">
        <v>1336</v>
      </c>
      <c r="D186" s="824" t="s">
        <v>1129</v>
      </c>
      <c r="E186" s="822"/>
      <c r="F186" s="980"/>
      <c r="G186" s="980">
        <v>31</v>
      </c>
      <c r="H186" s="980"/>
      <c r="I186" s="980"/>
      <c r="J186" s="980"/>
      <c r="K186" s="980"/>
      <c r="L186" s="980"/>
      <c r="M186" s="980"/>
      <c r="N186" s="980"/>
      <c r="O186" s="980"/>
      <c r="P186" s="980"/>
      <c r="Q186" s="980"/>
      <c r="R186" s="983"/>
    </row>
    <row r="187" spans="1:18" x14ac:dyDescent="0.25">
      <c r="A187" s="439" t="str">
        <f t="shared" si="2"/>
        <v>CO-010100000_#</v>
      </c>
      <c r="B187" s="1007" t="s">
        <v>1337</v>
      </c>
      <c r="C187" s="796" t="s">
        <v>1049</v>
      </c>
      <c r="D187" s="794" t="s">
        <v>1215</v>
      </c>
      <c r="E187" s="794" t="s">
        <v>1216</v>
      </c>
      <c r="F187" s="979"/>
      <c r="G187" s="979">
        <v>31</v>
      </c>
      <c r="H187" s="979"/>
      <c r="I187" s="979"/>
      <c r="J187" s="979"/>
      <c r="K187" s="979"/>
      <c r="L187" s="979"/>
      <c r="M187" s="979"/>
      <c r="N187" s="979"/>
      <c r="O187" s="979"/>
      <c r="P187" s="979"/>
      <c r="Q187" s="979"/>
      <c r="R187" s="982"/>
    </row>
    <row r="188" spans="1:18" x14ac:dyDescent="0.25">
      <c r="A188" s="439" t="str">
        <f t="shared" si="2"/>
        <v>CO-010100000_Result</v>
      </c>
      <c r="B188" s="1007" t="s">
        <v>1337</v>
      </c>
      <c r="C188" s="796" t="s">
        <v>1049</v>
      </c>
      <c r="D188" s="824" t="s">
        <v>1129</v>
      </c>
      <c r="E188" s="822"/>
      <c r="F188" s="980"/>
      <c r="G188" s="980">
        <v>31</v>
      </c>
      <c r="H188" s="980"/>
      <c r="I188" s="980"/>
      <c r="J188" s="980"/>
      <c r="K188" s="980"/>
      <c r="L188" s="980"/>
      <c r="M188" s="980"/>
      <c r="N188" s="980"/>
      <c r="O188" s="980"/>
      <c r="P188" s="980"/>
      <c r="Q188" s="980"/>
      <c r="R188" s="983"/>
    </row>
    <row r="189" spans="1:18" x14ac:dyDescent="0.25">
      <c r="A189" s="439" t="str">
        <f t="shared" si="2"/>
        <v>CO-010101000_#</v>
      </c>
      <c r="B189" s="1009" t="s">
        <v>1338</v>
      </c>
      <c r="C189" s="797" t="s">
        <v>1033</v>
      </c>
      <c r="D189" s="794" t="s">
        <v>1215</v>
      </c>
      <c r="E189" s="794" t="s">
        <v>1216</v>
      </c>
      <c r="F189" s="979"/>
      <c r="G189" s="979">
        <v>26</v>
      </c>
      <c r="H189" s="979"/>
      <c r="I189" s="979"/>
      <c r="J189" s="979"/>
      <c r="K189" s="979"/>
      <c r="L189" s="979"/>
      <c r="M189" s="979"/>
      <c r="N189" s="979"/>
      <c r="O189" s="979"/>
      <c r="P189" s="979"/>
      <c r="Q189" s="979"/>
      <c r="R189" s="982"/>
    </row>
    <row r="190" spans="1:18" x14ac:dyDescent="0.25">
      <c r="A190" s="439" t="str">
        <f t="shared" si="2"/>
        <v>CO-010101000_Result</v>
      </c>
      <c r="B190" s="1009" t="s">
        <v>1338</v>
      </c>
      <c r="C190" s="797" t="s">
        <v>1033</v>
      </c>
      <c r="D190" s="824" t="s">
        <v>1129</v>
      </c>
      <c r="E190" s="822"/>
      <c r="F190" s="980"/>
      <c r="G190" s="980">
        <v>26</v>
      </c>
      <c r="H190" s="980"/>
      <c r="I190" s="980"/>
      <c r="J190" s="980"/>
      <c r="K190" s="980"/>
      <c r="L190" s="980"/>
      <c r="M190" s="980"/>
      <c r="N190" s="980"/>
      <c r="O190" s="980"/>
      <c r="P190" s="980"/>
      <c r="Q190" s="980"/>
      <c r="R190" s="983"/>
    </row>
    <row r="191" spans="1:18" x14ac:dyDescent="0.25">
      <c r="A191" s="439" t="str">
        <f t="shared" si="2"/>
        <v>CO-010101100_#</v>
      </c>
      <c r="B191" s="1016" t="s">
        <v>1339</v>
      </c>
      <c r="C191" s="798" t="s">
        <v>1041</v>
      </c>
      <c r="D191" s="794" t="s">
        <v>1215</v>
      </c>
      <c r="E191" s="794" t="s">
        <v>1216</v>
      </c>
      <c r="F191" s="979"/>
      <c r="G191" s="979">
        <v>26</v>
      </c>
      <c r="H191" s="979"/>
      <c r="I191" s="979"/>
      <c r="J191" s="979"/>
      <c r="K191" s="979"/>
      <c r="L191" s="979"/>
      <c r="M191" s="979"/>
      <c r="N191" s="979"/>
      <c r="O191" s="979"/>
      <c r="P191" s="979"/>
      <c r="Q191" s="979"/>
      <c r="R191" s="982"/>
    </row>
    <row r="192" spans="1:18" x14ac:dyDescent="0.25">
      <c r="A192" s="439" t="str">
        <f t="shared" si="2"/>
        <v>CO-010101100_Result</v>
      </c>
      <c r="B192" s="1016" t="s">
        <v>1339</v>
      </c>
      <c r="C192" s="798" t="s">
        <v>1041</v>
      </c>
      <c r="D192" s="824" t="s">
        <v>1129</v>
      </c>
      <c r="E192" s="822"/>
      <c r="F192" s="980"/>
      <c r="G192" s="980">
        <v>26</v>
      </c>
      <c r="H192" s="980"/>
      <c r="I192" s="980"/>
      <c r="J192" s="980"/>
      <c r="K192" s="980"/>
      <c r="L192" s="980"/>
      <c r="M192" s="980"/>
      <c r="N192" s="980"/>
      <c r="O192" s="980"/>
      <c r="P192" s="980"/>
      <c r="Q192" s="980"/>
      <c r="R192" s="983"/>
    </row>
    <row r="193" spans="1:18" x14ac:dyDescent="0.25">
      <c r="A193" s="439" t="str">
        <f t="shared" si="2"/>
        <v>CO-010106000_#</v>
      </c>
      <c r="B193" s="1009" t="s">
        <v>1340</v>
      </c>
      <c r="C193" s="797" t="s">
        <v>1035</v>
      </c>
      <c r="D193" s="794" t="s">
        <v>1215</v>
      </c>
      <c r="E193" s="794" t="s">
        <v>1216</v>
      </c>
      <c r="F193" s="979"/>
      <c r="G193" s="979">
        <v>5</v>
      </c>
      <c r="H193" s="979"/>
      <c r="I193" s="979"/>
      <c r="J193" s="979"/>
      <c r="K193" s="979"/>
      <c r="L193" s="979"/>
      <c r="M193" s="979"/>
      <c r="N193" s="979"/>
      <c r="O193" s="979"/>
      <c r="P193" s="979"/>
      <c r="Q193" s="979"/>
      <c r="R193" s="982"/>
    </row>
    <row r="194" spans="1:18" x14ac:dyDescent="0.25">
      <c r="A194" s="439" t="str">
        <f t="shared" si="2"/>
        <v>CO-010106000_Result</v>
      </c>
      <c r="B194" s="1009" t="s">
        <v>1340</v>
      </c>
      <c r="C194" s="797" t="s">
        <v>1035</v>
      </c>
      <c r="D194" s="824" t="s">
        <v>1129</v>
      </c>
      <c r="E194" s="822"/>
      <c r="F194" s="980"/>
      <c r="G194" s="980">
        <v>5</v>
      </c>
      <c r="H194" s="980"/>
      <c r="I194" s="980"/>
      <c r="J194" s="980"/>
      <c r="K194" s="980"/>
      <c r="L194" s="980"/>
      <c r="M194" s="980"/>
      <c r="N194" s="980"/>
      <c r="O194" s="980"/>
      <c r="P194" s="980"/>
      <c r="Q194" s="980"/>
      <c r="R194" s="983"/>
    </row>
    <row r="195" spans="1:18" x14ac:dyDescent="0.25">
      <c r="A195" s="439" t="str">
        <f t="shared" si="2"/>
        <v>CO-010106100_#</v>
      </c>
      <c r="B195" s="1016" t="s">
        <v>1341</v>
      </c>
      <c r="C195" s="798" t="s">
        <v>1043</v>
      </c>
      <c r="D195" s="794" t="s">
        <v>1215</v>
      </c>
      <c r="E195" s="794" t="s">
        <v>1216</v>
      </c>
      <c r="F195" s="979"/>
      <c r="G195" s="979">
        <v>5</v>
      </c>
      <c r="H195" s="979"/>
      <c r="I195" s="979"/>
      <c r="J195" s="979"/>
      <c r="K195" s="979"/>
      <c r="L195" s="979"/>
      <c r="M195" s="979"/>
      <c r="N195" s="979"/>
      <c r="O195" s="979"/>
      <c r="P195" s="979"/>
      <c r="Q195" s="979"/>
      <c r="R195" s="982"/>
    </row>
    <row r="196" spans="1:18" x14ac:dyDescent="0.25">
      <c r="A196" s="439" t="str">
        <f t="shared" ref="A196:A259" si="3" xml:space="preserve"> IFERROR(+B196*1,B196)&amp;"_"&amp;IFERROR(+D196*1,D196)</f>
        <v>CO-010106100_Result</v>
      </c>
      <c r="B196" s="1016" t="s">
        <v>1341</v>
      </c>
      <c r="C196" s="798" t="s">
        <v>1043</v>
      </c>
      <c r="D196" s="824" t="s">
        <v>1129</v>
      </c>
      <c r="E196" s="822"/>
      <c r="F196" s="980"/>
      <c r="G196" s="980">
        <v>5</v>
      </c>
      <c r="H196" s="980"/>
      <c r="I196" s="980"/>
      <c r="J196" s="980"/>
      <c r="K196" s="980"/>
      <c r="L196" s="980"/>
      <c r="M196" s="980"/>
      <c r="N196" s="980"/>
      <c r="O196" s="980"/>
      <c r="P196" s="980"/>
      <c r="Q196" s="980"/>
      <c r="R196" s="983"/>
    </row>
    <row r="197" spans="1:18" x14ac:dyDescent="0.25">
      <c r="A197" s="439" t="str">
        <f t="shared" si="3"/>
        <v>CO-210000000_#</v>
      </c>
      <c r="B197" s="1005" t="s">
        <v>1342</v>
      </c>
      <c r="C197" s="795" t="s">
        <v>1343</v>
      </c>
      <c r="D197" s="794" t="s">
        <v>1215</v>
      </c>
      <c r="E197" s="794" t="s">
        <v>1216</v>
      </c>
      <c r="F197" s="979"/>
      <c r="G197" s="979">
        <v>-205320.62</v>
      </c>
      <c r="H197" s="979">
        <v>-206704.87400000001</v>
      </c>
      <c r="I197" s="979">
        <v>-200910.37599999999</v>
      </c>
      <c r="J197" s="979">
        <v>-190193.41</v>
      </c>
      <c r="K197" s="979">
        <v>-195862.92199999999</v>
      </c>
      <c r="L197" s="979">
        <v>-194447.61600000001</v>
      </c>
      <c r="M197" s="979">
        <v>-213604.28700000001</v>
      </c>
      <c r="N197" s="979">
        <v>-206128.538</v>
      </c>
      <c r="O197" s="979">
        <v>-206515.535</v>
      </c>
      <c r="P197" s="979">
        <v>-199029.81099999999</v>
      </c>
      <c r="Q197" s="979">
        <v>-199940.731</v>
      </c>
      <c r="R197" s="982">
        <v>-201071.495</v>
      </c>
    </row>
    <row r="198" spans="1:18" x14ac:dyDescent="0.25">
      <c r="A198" s="439" t="str">
        <f t="shared" si="3"/>
        <v>CO-210000000_Result</v>
      </c>
      <c r="B198" s="1005" t="s">
        <v>1342</v>
      </c>
      <c r="C198" s="795" t="s">
        <v>1343</v>
      </c>
      <c r="D198" s="824" t="s">
        <v>1129</v>
      </c>
      <c r="E198" s="822"/>
      <c r="F198" s="980"/>
      <c r="G198" s="980">
        <v>-205320.62</v>
      </c>
      <c r="H198" s="980">
        <v>-206704.87400000001</v>
      </c>
      <c r="I198" s="980">
        <v>-200910.37599999999</v>
      </c>
      <c r="J198" s="980">
        <v>-190193.41</v>
      </c>
      <c r="K198" s="980">
        <v>-195862.92199999999</v>
      </c>
      <c r="L198" s="980">
        <v>-194447.61600000001</v>
      </c>
      <c r="M198" s="980">
        <v>-213604.28700000001</v>
      </c>
      <c r="N198" s="980">
        <v>-206128.538</v>
      </c>
      <c r="O198" s="980">
        <v>-206515.535</v>
      </c>
      <c r="P198" s="980">
        <v>-199029.81099999999</v>
      </c>
      <c r="Q198" s="980">
        <v>-199940.731</v>
      </c>
      <c r="R198" s="983">
        <v>-201071.495</v>
      </c>
    </row>
    <row r="199" spans="1:18" x14ac:dyDescent="0.25">
      <c r="A199" s="439" t="str">
        <f t="shared" si="3"/>
        <v>CO-210000329_#</v>
      </c>
      <c r="B199" s="1006" t="s">
        <v>1344</v>
      </c>
      <c r="C199" s="796" t="s">
        <v>457</v>
      </c>
      <c r="D199" s="794" t="s">
        <v>1215</v>
      </c>
      <c r="E199" s="794" t="s">
        <v>1216</v>
      </c>
      <c r="F199" s="979"/>
      <c r="G199" s="979">
        <v>-9259.5669999999991</v>
      </c>
      <c r="H199" s="979">
        <v>-9673.7990000000009</v>
      </c>
      <c r="I199" s="979">
        <v>-9775.51</v>
      </c>
      <c r="J199" s="979">
        <v>-9456.3209999999999</v>
      </c>
      <c r="K199" s="979">
        <v>-9672.9879999999994</v>
      </c>
      <c r="L199" s="979">
        <v>-9511.9159999999993</v>
      </c>
      <c r="M199" s="979">
        <v>-9886.7839999999997</v>
      </c>
      <c r="N199" s="979">
        <v>-9542.7260000000006</v>
      </c>
      <c r="O199" s="979">
        <v>-9704.6119999999992</v>
      </c>
      <c r="P199" s="979">
        <v>-9678.6679999999997</v>
      </c>
      <c r="Q199" s="979">
        <v>-9332.7260000000006</v>
      </c>
      <c r="R199" s="982">
        <v>-9715.1620000000003</v>
      </c>
    </row>
    <row r="200" spans="1:18" x14ac:dyDescent="0.25">
      <c r="A200" s="439" t="str">
        <f t="shared" si="3"/>
        <v>CO-210000329_Result</v>
      </c>
      <c r="B200" s="1006" t="s">
        <v>1344</v>
      </c>
      <c r="C200" s="796" t="s">
        <v>457</v>
      </c>
      <c r="D200" s="824" t="s">
        <v>1129</v>
      </c>
      <c r="E200" s="822"/>
      <c r="F200" s="980"/>
      <c r="G200" s="980">
        <v>-9259.5669999999991</v>
      </c>
      <c r="H200" s="980">
        <v>-9673.7990000000009</v>
      </c>
      <c r="I200" s="980">
        <v>-9775.51</v>
      </c>
      <c r="J200" s="980">
        <v>-9456.3209999999999</v>
      </c>
      <c r="K200" s="980">
        <v>-9672.9879999999994</v>
      </c>
      <c r="L200" s="980">
        <v>-9511.9159999999993</v>
      </c>
      <c r="M200" s="980">
        <v>-9886.7839999999997</v>
      </c>
      <c r="N200" s="980">
        <v>-9542.7260000000006</v>
      </c>
      <c r="O200" s="980">
        <v>-9704.6119999999992</v>
      </c>
      <c r="P200" s="980">
        <v>-9678.6679999999997</v>
      </c>
      <c r="Q200" s="980">
        <v>-9332.7260000000006</v>
      </c>
      <c r="R200" s="983">
        <v>-9715.1620000000003</v>
      </c>
    </row>
    <row r="201" spans="1:18" x14ac:dyDescent="0.25">
      <c r="A201" s="439" t="str">
        <f t="shared" si="3"/>
        <v>CO-210000325_#</v>
      </c>
      <c r="B201" s="1006" t="s">
        <v>1347</v>
      </c>
      <c r="C201" s="796" t="s">
        <v>1348</v>
      </c>
      <c r="D201" s="794" t="s">
        <v>1215</v>
      </c>
      <c r="E201" s="794" t="s">
        <v>1216</v>
      </c>
      <c r="F201" s="979"/>
      <c r="G201" s="979">
        <v>-2237.48</v>
      </c>
      <c r="H201" s="979">
        <v>-2237.48</v>
      </c>
      <c r="I201" s="979">
        <v>-2237.48</v>
      </c>
      <c r="J201" s="979">
        <v>-2237.48</v>
      </c>
      <c r="K201" s="979">
        <v>-2237.48</v>
      </c>
      <c r="L201" s="979">
        <v>-2237.48</v>
      </c>
      <c r="M201" s="979">
        <v>-2237.48</v>
      </c>
      <c r="N201" s="979">
        <v>-2237.48</v>
      </c>
      <c r="O201" s="979">
        <v>-2237.48</v>
      </c>
      <c r="P201" s="979">
        <v>-2237.48</v>
      </c>
      <c r="Q201" s="979">
        <v>-2237.48</v>
      </c>
      <c r="R201" s="982">
        <v>-2237.48</v>
      </c>
    </row>
    <row r="202" spans="1:18" x14ac:dyDescent="0.25">
      <c r="A202" s="439" t="str">
        <f t="shared" si="3"/>
        <v>CO-210000325_Result</v>
      </c>
      <c r="B202" s="1006" t="s">
        <v>1347</v>
      </c>
      <c r="C202" s="796" t="s">
        <v>1348</v>
      </c>
      <c r="D202" s="824" t="s">
        <v>1129</v>
      </c>
      <c r="E202" s="822"/>
      <c r="F202" s="980"/>
      <c r="G202" s="980">
        <v>-2237.48</v>
      </c>
      <c r="H202" s="980">
        <v>-2237.48</v>
      </c>
      <c r="I202" s="980">
        <v>-2237.48</v>
      </c>
      <c r="J202" s="980">
        <v>-2237.48</v>
      </c>
      <c r="K202" s="980">
        <v>-2237.48</v>
      </c>
      <c r="L202" s="980">
        <v>-2237.48</v>
      </c>
      <c r="M202" s="980">
        <v>-2237.48</v>
      </c>
      <c r="N202" s="980">
        <v>-2237.48</v>
      </c>
      <c r="O202" s="980">
        <v>-2237.48</v>
      </c>
      <c r="P202" s="980">
        <v>-2237.48</v>
      </c>
      <c r="Q202" s="980">
        <v>-2237.48</v>
      </c>
      <c r="R202" s="983">
        <v>-2237.48</v>
      </c>
    </row>
    <row r="203" spans="1:18" x14ac:dyDescent="0.25">
      <c r="A203" s="439" t="str">
        <f t="shared" si="3"/>
        <v>CO-210000323_#</v>
      </c>
      <c r="B203" s="1006" t="s">
        <v>1349</v>
      </c>
      <c r="C203" s="796" t="s">
        <v>1350</v>
      </c>
      <c r="D203" s="794" t="s">
        <v>1215</v>
      </c>
      <c r="E203" s="794" t="s">
        <v>1216</v>
      </c>
      <c r="F203" s="979"/>
      <c r="G203" s="979">
        <v>-9572.7369999999992</v>
      </c>
      <c r="H203" s="979">
        <v>-9572.7369999999992</v>
      </c>
      <c r="I203" s="979">
        <v>-9572.7369999999992</v>
      </c>
      <c r="J203" s="979">
        <v>-9572.7369999999992</v>
      </c>
      <c r="K203" s="979">
        <v>-9572.7369999999992</v>
      </c>
      <c r="L203" s="979">
        <v>-9572.7369999999992</v>
      </c>
      <c r="M203" s="979">
        <v>-9572.7369999999992</v>
      </c>
      <c r="N203" s="979">
        <v>-9572.7369999999992</v>
      </c>
      <c r="O203" s="979">
        <v>-9572.7369999999992</v>
      </c>
      <c r="P203" s="979">
        <v>-9572.7369999999992</v>
      </c>
      <c r="Q203" s="979">
        <v>-9572.7369999999992</v>
      </c>
      <c r="R203" s="982">
        <v>-9572.7369999999992</v>
      </c>
    </row>
    <row r="204" spans="1:18" x14ac:dyDescent="0.25">
      <c r="A204" s="439" t="str">
        <f t="shared" si="3"/>
        <v>CO-210000323_Result</v>
      </c>
      <c r="B204" s="1006" t="s">
        <v>1349</v>
      </c>
      <c r="C204" s="796" t="s">
        <v>1350</v>
      </c>
      <c r="D204" s="824" t="s">
        <v>1129</v>
      </c>
      <c r="E204" s="822"/>
      <c r="F204" s="980"/>
      <c r="G204" s="980">
        <v>-9572.7369999999992</v>
      </c>
      <c r="H204" s="980">
        <v>-9572.7369999999992</v>
      </c>
      <c r="I204" s="980">
        <v>-9572.7369999999992</v>
      </c>
      <c r="J204" s="980">
        <v>-9572.7369999999992</v>
      </c>
      <c r="K204" s="980">
        <v>-9572.7369999999992</v>
      </c>
      <c r="L204" s="980">
        <v>-9572.7369999999992</v>
      </c>
      <c r="M204" s="980">
        <v>-9572.7369999999992</v>
      </c>
      <c r="N204" s="980">
        <v>-9572.7369999999992</v>
      </c>
      <c r="O204" s="980">
        <v>-9572.7369999999992</v>
      </c>
      <c r="P204" s="980">
        <v>-9572.7369999999992</v>
      </c>
      <c r="Q204" s="980">
        <v>-9572.7369999999992</v>
      </c>
      <c r="R204" s="983">
        <v>-9572.7369999999992</v>
      </c>
    </row>
    <row r="205" spans="1:18" x14ac:dyDescent="0.25">
      <c r="A205" s="439" t="str">
        <f t="shared" si="3"/>
        <v>CO-210000322_#</v>
      </c>
      <c r="B205" s="1006" t="s">
        <v>1507</v>
      </c>
      <c r="C205" s="796" t="s">
        <v>1508</v>
      </c>
      <c r="D205" s="794" t="s">
        <v>1215</v>
      </c>
      <c r="E205" s="794" t="s">
        <v>1216</v>
      </c>
      <c r="F205" s="979"/>
      <c r="G205" s="979">
        <v>-55733.332999999999</v>
      </c>
      <c r="H205" s="979">
        <v>-55733.332999999999</v>
      </c>
      <c r="I205" s="979">
        <v>-55733.332999999999</v>
      </c>
      <c r="J205" s="979">
        <v>-55733.332999999999</v>
      </c>
      <c r="K205" s="979">
        <v>-55733.332999999999</v>
      </c>
      <c r="L205" s="979">
        <v>-55733.332999999999</v>
      </c>
      <c r="M205" s="979">
        <v>-55733.332999999999</v>
      </c>
      <c r="N205" s="979">
        <v>-55733.332999999999</v>
      </c>
      <c r="O205" s="979">
        <v>-55733.332999999999</v>
      </c>
      <c r="P205" s="979">
        <v>-55733.332999999999</v>
      </c>
      <c r="Q205" s="979">
        <v>-55733.332999999999</v>
      </c>
      <c r="R205" s="982">
        <v>-55733.332999999999</v>
      </c>
    </row>
    <row r="206" spans="1:18" x14ac:dyDescent="0.25">
      <c r="A206" s="439" t="str">
        <f t="shared" si="3"/>
        <v>CO-210000322_Result</v>
      </c>
      <c r="B206" s="1006" t="s">
        <v>1507</v>
      </c>
      <c r="C206" s="796" t="s">
        <v>1508</v>
      </c>
      <c r="D206" s="824" t="s">
        <v>1129</v>
      </c>
      <c r="E206" s="822"/>
      <c r="F206" s="980"/>
      <c r="G206" s="980">
        <v>-55733.332999999999</v>
      </c>
      <c r="H206" s="980">
        <v>-55733.332999999999</v>
      </c>
      <c r="I206" s="980">
        <v>-55733.332999999999</v>
      </c>
      <c r="J206" s="980">
        <v>-55733.332999999999</v>
      </c>
      <c r="K206" s="980">
        <v>-55733.332999999999</v>
      </c>
      <c r="L206" s="980">
        <v>-55733.332999999999</v>
      </c>
      <c r="M206" s="980">
        <v>-55733.332999999999</v>
      </c>
      <c r="N206" s="980">
        <v>-55733.332999999999</v>
      </c>
      <c r="O206" s="980">
        <v>-55733.332999999999</v>
      </c>
      <c r="P206" s="980">
        <v>-55733.332999999999</v>
      </c>
      <c r="Q206" s="980">
        <v>-55733.332999999999</v>
      </c>
      <c r="R206" s="983">
        <v>-55733.332999999999</v>
      </c>
    </row>
    <row r="207" spans="1:18" x14ac:dyDescent="0.25">
      <c r="A207" s="439" t="str">
        <f t="shared" si="3"/>
        <v>CO-210000320_#</v>
      </c>
      <c r="B207" s="1006" t="s">
        <v>1353</v>
      </c>
      <c r="C207" s="796" t="s">
        <v>1354</v>
      </c>
      <c r="D207" s="794" t="s">
        <v>1215</v>
      </c>
      <c r="E207" s="794" t="s">
        <v>1216</v>
      </c>
      <c r="F207" s="979"/>
      <c r="G207" s="979">
        <v>-25342.435000000001</v>
      </c>
      <c r="H207" s="979">
        <v>-26243.616000000002</v>
      </c>
      <c r="I207" s="979">
        <v>-20310.898000000001</v>
      </c>
      <c r="J207" s="979">
        <v>-14322.986999999999</v>
      </c>
      <c r="K207" s="979">
        <v>-16795.213</v>
      </c>
      <c r="L207" s="979">
        <v>-14292.66</v>
      </c>
      <c r="M207" s="979">
        <v>-17971.845000000001</v>
      </c>
      <c r="N207" s="979">
        <v>-14030.644</v>
      </c>
      <c r="O207" s="979">
        <v>-21652.095000000001</v>
      </c>
      <c r="P207" s="979">
        <v>-14448.245000000001</v>
      </c>
      <c r="Q207" s="979">
        <v>-16699.555</v>
      </c>
      <c r="R207" s="982">
        <v>-14536.735000000001</v>
      </c>
    </row>
    <row r="208" spans="1:18" x14ac:dyDescent="0.25">
      <c r="A208" s="439" t="str">
        <f t="shared" si="3"/>
        <v>CO-210000320_Result</v>
      </c>
      <c r="B208" s="1006" t="s">
        <v>1353</v>
      </c>
      <c r="C208" s="796" t="s">
        <v>1354</v>
      </c>
      <c r="D208" s="824" t="s">
        <v>1129</v>
      </c>
      <c r="E208" s="822"/>
      <c r="F208" s="980"/>
      <c r="G208" s="980">
        <v>-25342.435000000001</v>
      </c>
      <c r="H208" s="980">
        <v>-26243.616000000002</v>
      </c>
      <c r="I208" s="980">
        <v>-20310.898000000001</v>
      </c>
      <c r="J208" s="980">
        <v>-14322.986999999999</v>
      </c>
      <c r="K208" s="980">
        <v>-16795.213</v>
      </c>
      <c r="L208" s="980">
        <v>-14292.66</v>
      </c>
      <c r="M208" s="980">
        <v>-17971.845000000001</v>
      </c>
      <c r="N208" s="980">
        <v>-14030.644</v>
      </c>
      <c r="O208" s="980">
        <v>-21652.095000000001</v>
      </c>
      <c r="P208" s="980">
        <v>-14448.245000000001</v>
      </c>
      <c r="Q208" s="980">
        <v>-16699.555</v>
      </c>
      <c r="R208" s="983">
        <v>-14536.735000000001</v>
      </c>
    </row>
    <row r="209" spans="1:18" x14ac:dyDescent="0.25">
      <c r="A209" s="439" t="str">
        <f t="shared" si="3"/>
        <v>CO-210000313_#</v>
      </c>
      <c r="B209" s="1006" t="s">
        <v>1355</v>
      </c>
      <c r="C209" s="796" t="s">
        <v>1356</v>
      </c>
      <c r="D209" s="794" t="s">
        <v>1215</v>
      </c>
      <c r="E209" s="794" t="s">
        <v>1216</v>
      </c>
      <c r="F209" s="979"/>
      <c r="G209" s="979">
        <v>-2465.221</v>
      </c>
      <c r="H209" s="979">
        <v>-2614.5160000000001</v>
      </c>
      <c r="I209" s="979">
        <v>-2503.748</v>
      </c>
      <c r="J209" s="979">
        <v>-2289.759</v>
      </c>
      <c r="K209" s="979">
        <v>-2331.4780000000001</v>
      </c>
      <c r="L209" s="979">
        <v>-2560.8890000000001</v>
      </c>
      <c r="M209" s="979">
        <v>-3098.3040000000001</v>
      </c>
      <c r="N209" s="979">
        <v>-2610.027</v>
      </c>
      <c r="O209" s="979">
        <v>-2813.4</v>
      </c>
      <c r="P209" s="979">
        <v>-2567.9059999999999</v>
      </c>
      <c r="Q209" s="979">
        <v>-2608.0160000000001</v>
      </c>
      <c r="R209" s="982">
        <v>-2662.3560000000002</v>
      </c>
    </row>
    <row r="210" spans="1:18" x14ac:dyDescent="0.25">
      <c r="A210" s="439" t="str">
        <f t="shared" si="3"/>
        <v>CO-210000313_Result</v>
      </c>
      <c r="B210" s="1006" t="s">
        <v>1355</v>
      </c>
      <c r="C210" s="796" t="s">
        <v>1356</v>
      </c>
      <c r="D210" s="824" t="s">
        <v>1129</v>
      </c>
      <c r="E210" s="822"/>
      <c r="F210" s="980"/>
      <c r="G210" s="980">
        <v>-2465.221</v>
      </c>
      <c r="H210" s="980">
        <v>-2614.5160000000001</v>
      </c>
      <c r="I210" s="980">
        <v>-2503.748</v>
      </c>
      <c r="J210" s="980">
        <v>-2289.759</v>
      </c>
      <c r="K210" s="980">
        <v>-2331.4780000000001</v>
      </c>
      <c r="L210" s="980">
        <v>-2560.8890000000001</v>
      </c>
      <c r="M210" s="980">
        <v>-3098.3040000000001</v>
      </c>
      <c r="N210" s="980">
        <v>-2610.027</v>
      </c>
      <c r="O210" s="980">
        <v>-2813.4</v>
      </c>
      <c r="P210" s="980">
        <v>-2567.9059999999999</v>
      </c>
      <c r="Q210" s="980">
        <v>-2608.0160000000001</v>
      </c>
      <c r="R210" s="983">
        <v>-2662.3560000000002</v>
      </c>
    </row>
    <row r="211" spans="1:18" x14ac:dyDescent="0.25">
      <c r="A211" s="439" t="str">
        <f t="shared" si="3"/>
        <v>CO-210000312_#</v>
      </c>
      <c r="B211" s="1006" t="s">
        <v>1357</v>
      </c>
      <c r="C211" s="796" t="s">
        <v>1358</v>
      </c>
      <c r="D211" s="794" t="s">
        <v>1215</v>
      </c>
      <c r="E211" s="794" t="s">
        <v>1216</v>
      </c>
      <c r="F211" s="979"/>
      <c r="G211" s="979">
        <v>-54295.493000000002</v>
      </c>
      <c r="H211" s="979">
        <v>-54215.038999999997</v>
      </c>
      <c r="I211" s="979">
        <v>-54362.315999999999</v>
      </c>
      <c r="J211" s="979">
        <v>-50166.438999999998</v>
      </c>
      <c r="K211" s="979">
        <v>-53105.339</v>
      </c>
      <c r="L211" s="979">
        <v>-54124.247000000003</v>
      </c>
      <c r="M211" s="979">
        <v>-68689.45</v>
      </c>
      <c r="N211" s="979">
        <v>-65987.236999999994</v>
      </c>
      <c r="O211" s="979">
        <v>-58387.523999999998</v>
      </c>
      <c r="P211" s="979">
        <v>-58377.088000000003</v>
      </c>
      <c r="Q211" s="979">
        <v>-57342.53</v>
      </c>
      <c r="R211" s="982">
        <v>-60199.338000000003</v>
      </c>
    </row>
    <row r="212" spans="1:18" x14ac:dyDescent="0.25">
      <c r="A212" s="439" t="str">
        <f t="shared" si="3"/>
        <v>CO-210000312_Result</v>
      </c>
      <c r="B212" s="1006" t="s">
        <v>1357</v>
      </c>
      <c r="C212" s="796" t="s">
        <v>1358</v>
      </c>
      <c r="D212" s="824" t="s">
        <v>1129</v>
      </c>
      <c r="E212" s="822"/>
      <c r="F212" s="980"/>
      <c r="G212" s="980">
        <v>-54295.493000000002</v>
      </c>
      <c r="H212" s="980">
        <v>-54215.038999999997</v>
      </c>
      <c r="I212" s="980">
        <v>-54362.315999999999</v>
      </c>
      <c r="J212" s="980">
        <v>-50166.438999999998</v>
      </c>
      <c r="K212" s="980">
        <v>-53105.339</v>
      </c>
      <c r="L212" s="980">
        <v>-54124.247000000003</v>
      </c>
      <c r="M212" s="980">
        <v>-68689.45</v>
      </c>
      <c r="N212" s="980">
        <v>-65987.236999999994</v>
      </c>
      <c r="O212" s="980">
        <v>-58387.523999999998</v>
      </c>
      <c r="P212" s="980">
        <v>-58377.088000000003</v>
      </c>
      <c r="Q212" s="980">
        <v>-57342.53</v>
      </c>
      <c r="R212" s="983">
        <v>-60199.338000000003</v>
      </c>
    </row>
    <row r="213" spans="1:18" x14ac:dyDescent="0.25">
      <c r="A213" s="439" t="str">
        <f t="shared" si="3"/>
        <v>CO-210000311_#</v>
      </c>
      <c r="B213" s="1006" t="s">
        <v>1359</v>
      </c>
      <c r="C213" s="796" t="s">
        <v>1360</v>
      </c>
      <c r="D213" s="794" t="s">
        <v>1215</v>
      </c>
      <c r="E213" s="794" t="s">
        <v>1216</v>
      </c>
      <c r="F213" s="979"/>
      <c r="G213" s="979">
        <v>-10756.484</v>
      </c>
      <c r="H213" s="979">
        <v>-10756.484</v>
      </c>
      <c r="I213" s="979">
        <v>-10756.484</v>
      </c>
      <c r="J213" s="979">
        <v>-10756.484</v>
      </c>
      <c r="K213" s="979">
        <v>-10756.484</v>
      </c>
      <c r="L213" s="979">
        <v>-10756.484</v>
      </c>
      <c r="M213" s="979">
        <v>-10756.484</v>
      </c>
      <c r="N213" s="979">
        <v>-10756.484</v>
      </c>
      <c r="O213" s="979">
        <v>-10756.484</v>
      </c>
      <c r="P213" s="979">
        <v>-10756.484</v>
      </c>
      <c r="Q213" s="979">
        <v>-10756.484</v>
      </c>
      <c r="R213" s="982">
        <v>-10756.484</v>
      </c>
    </row>
    <row r="214" spans="1:18" x14ac:dyDescent="0.25">
      <c r="A214" s="439" t="str">
        <f t="shared" si="3"/>
        <v>CO-210000311_Result</v>
      </c>
      <c r="B214" s="1006" t="s">
        <v>1359</v>
      </c>
      <c r="C214" s="796" t="s">
        <v>1360</v>
      </c>
      <c r="D214" s="824" t="s">
        <v>1129</v>
      </c>
      <c r="E214" s="822"/>
      <c r="F214" s="980"/>
      <c r="G214" s="980">
        <v>-10756.484</v>
      </c>
      <c r="H214" s="980">
        <v>-10756.484</v>
      </c>
      <c r="I214" s="980">
        <v>-10756.484</v>
      </c>
      <c r="J214" s="980">
        <v>-10756.484</v>
      </c>
      <c r="K214" s="980">
        <v>-10756.484</v>
      </c>
      <c r="L214" s="980">
        <v>-10756.484</v>
      </c>
      <c r="M214" s="980">
        <v>-10756.484</v>
      </c>
      <c r="N214" s="980">
        <v>-10756.484</v>
      </c>
      <c r="O214" s="980">
        <v>-10756.484</v>
      </c>
      <c r="P214" s="980">
        <v>-10756.484</v>
      </c>
      <c r="Q214" s="980">
        <v>-10756.484</v>
      </c>
      <c r="R214" s="983">
        <v>-10756.484</v>
      </c>
    </row>
    <row r="215" spans="1:18" x14ac:dyDescent="0.25">
      <c r="A215" s="439" t="str">
        <f t="shared" si="3"/>
        <v>CO-210000310_#</v>
      </c>
      <c r="B215" s="1006" t="s">
        <v>1361</v>
      </c>
      <c r="C215" s="796" t="s">
        <v>1362</v>
      </c>
      <c r="D215" s="794" t="s">
        <v>1215</v>
      </c>
      <c r="E215" s="794" t="s">
        <v>1216</v>
      </c>
      <c r="F215" s="979"/>
      <c r="G215" s="979">
        <v>-35657.870000000003</v>
      </c>
      <c r="H215" s="979">
        <v>-35657.870000000003</v>
      </c>
      <c r="I215" s="979">
        <v>-35657.870000000003</v>
      </c>
      <c r="J215" s="979">
        <v>-35657.870000000003</v>
      </c>
      <c r="K215" s="979">
        <v>-35657.870000000003</v>
      </c>
      <c r="L215" s="979">
        <v>-35657.870000000003</v>
      </c>
      <c r="M215" s="979">
        <v>-35657.870000000003</v>
      </c>
      <c r="N215" s="979">
        <v>-35657.870000000003</v>
      </c>
      <c r="O215" s="979">
        <v>-35657.870000000003</v>
      </c>
      <c r="P215" s="979">
        <v>-35657.870000000003</v>
      </c>
      <c r="Q215" s="979">
        <v>-35657.870000000003</v>
      </c>
      <c r="R215" s="982">
        <v>-35657.870000000003</v>
      </c>
    </row>
    <row r="216" spans="1:18" x14ac:dyDescent="0.25">
      <c r="A216" s="439" t="str">
        <f t="shared" si="3"/>
        <v>CO-210000310_Result</v>
      </c>
      <c r="B216" s="1006" t="s">
        <v>1361</v>
      </c>
      <c r="C216" s="796" t="s">
        <v>1362</v>
      </c>
      <c r="D216" s="826" t="s">
        <v>1129</v>
      </c>
      <c r="E216" s="823"/>
      <c r="F216" s="981"/>
      <c r="G216" s="981">
        <v>-35657.870000000003</v>
      </c>
      <c r="H216" s="981">
        <v>-35657.870000000003</v>
      </c>
      <c r="I216" s="981">
        <v>-35657.870000000003</v>
      </c>
      <c r="J216" s="981">
        <v>-35657.870000000003</v>
      </c>
      <c r="K216" s="981">
        <v>-35657.870000000003</v>
      </c>
      <c r="L216" s="981">
        <v>-35657.870000000003</v>
      </c>
      <c r="M216" s="981">
        <v>-35657.870000000003</v>
      </c>
      <c r="N216" s="981">
        <v>-35657.870000000003</v>
      </c>
      <c r="O216" s="981">
        <v>-35657.870000000003</v>
      </c>
      <c r="P216" s="981">
        <v>-35657.870000000003</v>
      </c>
      <c r="Q216" s="981">
        <v>-35657.870000000003</v>
      </c>
      <c r="R216" s="984">
        <v>-35657.870000000003</v>
      </c>
    </row>
    <row r="217" spans="1:18" x14ac:dyDescent="0.25">
      <c r="A217" s="439" t="str">
        <f t="shared" si="3"/>
        <v>0_0</v>
      </c>
    </row>
    <row r="218" spans="1:18" x14ac:dyDescent="0.25">
      <c r="A218" s="439" t="str">
        <f t="shared" si="3"/>
        <v>0_0</v>
      </c>
    </row>
    <row r="219" spans="1:18" x14ac:dyDescent="0.25">
      <c r="A219" s="439" t="str">
        <f t="shared" si="3"/>
        <v>0_0</v>
      </c>
    </row>
    <row r="220" spans="1:18" x14ac:dyDescent="0.25">
      <c r="A220" s="439" t="str">
        <f t="shared" si="3"/>
        <v>0_0</v>
      </c>
    </row>
    <row r="221" spans="1:18" x14ac:dyDescent="0.25">
      <c r="A221" s="439" t="str">
        <f t="shared" si="3"/>
        <v>0_0</v>
      </c>
    </row>
    <row r="222" spans="1:18" x14ac:dyDescent="0.25">
      <c r="A222" s="439" t="str">
        <f t="shared" si="3"/>
        <v>0_0</v>
      </c>
    </row>
    <row r="223" spans="1:18" x14ac:dyDescent="0.25">
      <c r="A223" s="439" t="str">
        <f t="shared" si="3"/>
        <v>0_0</v>
      </c>
    </row>
    <row r="224" spans="1:18" x14ac:dyDescent="0.25">
      <c r="A224" s="439" t="str">
        <f t="shared" si="3"/>
        <v>0_0</v>
      </c>
    </row>
    <row r="225" spans="1:1" x14ac:dyDescent="0.25">
      <c r="A225" s="439" t="str">
        <f t="shared" si="3"/>
        <v>0_0</v>
      </c>
    </row>
    <row r="226" spans="1:1" x14ac:dyDescent="0.25">
      <c r="A226" s="439" t="str">
        <f t="shared" si="3"/>
        <v>0_0</v>
      </c>
    </row>
    <row r="227" spans="1:1" x14ac:dyDescent="0.25">
      <c r="A227" s="439" t="str">
        <f t="shared" si="3"/>
        <v>0_0</v>
      </c>
    </row>
    <row r="228" spans="1:1" x14ac:dyDescent="0.25">
      <c r="A228" s="439" t="str">
        <f t="shared" si="3"/>
        <v>0_0</v>
      </c>
    </row>
    <row r="229" spans="1:1" x14ac:dyDescent="0.25">
      <c r="A229" s="439" t="str">
        <f t="shared" si="3"/>
        <v>0_0</v>
      </c>
    </row>
    <row r="230" spans="1:1" x14ac:dyDescent="0.25">
      <c r="A230" s="439" t="str">
        <f t="shared" si="3"/>
        <v>0_0</v>
      </c>
    </row>
    <row r="231" spans="1:1" x14ac:dyDescent="0.25">
      <c r="A231" s="439" t="str">
        <f t="shared" si="3"/>
        <v>0_0</v>
      </c>
    </row>
    <row r="232" spans="1:1" x14ac:dyDescent="0.25">
      <c r="A232" s="439" t="str">
        <f t="shared" si="3"/>
        <v>0_0</v>
      </c>
    </row>
    <row r="233" spans="1:1" x14ac:dyDescent="0.25">
      <c r="A233" s="439" t="str">
        <f t="shared" si="3"/>
        <v>0_0</v>
      </c>
    </row>
    <row r="234" spans="1:1" x14ac:dyDescent="0.25">
      <c r="A234" s="439" t="str">
        <f t="shared" si="3"/>
        <v>0_0</v>
      </c>
    </row>
    <row r="235" spans="1:1" x14ac:dyDescent="0.25">
      <c r="A235" s="439" t="str">
        <f t="shared" si="3"/>
        <v>0_0</v>
      </c>
    </row>
    <row r="236" spans="1:1" x14ac:dyDescent="0.25">
      <c r="A236" s="439" t="str">
        <f t="shared" si="3"/>
        <v>0_0</v>
      </c>
    </row>
    <row r="237" spans="1:1" x14ac:dyDescent="0.25">
      <c r="A237" s="439" t="str">
        <f t="shared" si="3"/>
        <v>0_0</v>
      </c>
    </row>
    <row r="238" spans="1:1" x14ac:dyDescent="0.25">
      <c r="A238" s="439" t="str">
        <f t="shared" si="3"/>
        <v>0_0</v>
      </c>
    </row>
    <row r="239" spans="1:1" x14ac:dyDescent="0.25">
      <c r="A239" s="439" t="str">
        <f t="shared" si="3"/>
        <v>0_0</v>
      </c>
    </row>
    <row r="240" spans="1:1" x14ac:dyDescent="0.25">
      <c r="A240" s="439" t="str">
        <f t="shared" si="3"/>
        <v>0_0</v>
      </c>
    </row>
    <row r="241" spans="1:1" x14ac:dyDescent="0.25">
      <c r="A241" s="439" t="str">
        <f t="shared" si="3"/>
        <v>0_0</v>
      </c>
    </row>
    <row r="242" spans="1:1" x14ac:dyDescent="0.25">
      <c r="A242" s="439" t="str">
        <f t="shared" si="3"/>
        <v>0_0</v>
      </c>
    </row>
    <row r="243" spans="1:1" x14ac:dyDescent="0.25">
      <c r="A243" s="439" t="str">
        <f t="shared" si="3"/>
        <v>0_0</v>
      </c>
    </row>
    <row r="244" spans="1:1" x14ac:dyDescent="0.25">
      <c r="A244" s="439" t="str">
        <f t="shared" si="3"/>
        <v>0_0</v>
      </c>
    </row>
    <row r="245" spans="1:1" x14ac:dyDescent="0.25">
      <c r="A245" s="439" t="str">
        <f t="shared" si="3"/>
        <v>0_0</v>
      </c>
    </row>
    <row r="246" spans="1:1" x14ac:dyDescent="0.25">
      <c r="A246" s="439" t="str">
        <f t="shared" si="3"/>
        <v>0_0</v>
      </c>
    </row>
    <row r="247" spans="1:1" x14ac:dyDescent="0.25">
      <c r="A247" s="439" t="str">
        <f t="shared" si="3"/>
        <v>0_0</v>
      </c>
    </row>
    <row r="248" spans="1:1" x14ac:dyDescent="0.25">
      <c r="A248" s="439" t="str">
        <f t="shared" si="3"/>
        <v>0_0</v>
      </c>
    </row>
    <row r="249" spans="1:1" x14ac:dyDescent="0.25">
      <c r="A249" s="439" t="str">
        <f t="shared" si="3"/>
        <v>0_0</v>
      </c>
    </row>
    <row r="250" spans="1:1" x14ac:dyDescent="0.25">
      <c r="A250" s="439" t="str">
        <f t="shared" si="3"/>
        <v>0_0</v>
      </c>
    </row>
    <row r="251" spans="1:1" x14ac:dyDescent="0.25">
      <c r="A251" s="439" t="str">
        <f t="shared" si="3"/>
        <v>0_0</v>
      </c>
    </row>
    <row r="252" spans="1:1" x14ac:dyDescent="0.25">
      <c r="A252" s="439" t="str">
        <f t="shared" si="3"/>
        <v>0_0</v>
      </c>
    </row>
    <row r="253" spans="1:1" x14ac:dyDescent="0.25">
      <c r="A253" s="439" t="str">
        <f t="shared" si="3"/>
        <v>0_0</v>
      </c>
    </row>
    <row r="254" spans="1:1" x14ac:dyDescent="0.25">
      <c r="A254" s="439" t="str">
        <f t="shared" si="3"/>
        <v>0_0</v>
      </c>
    </row>
    <row r="255" spans="1:1" x14ac:dyDescent="0.25">
      <c r="A255" s="439" t="str">
        <f t="shared" si="3"/>
        <v>0_0</v>
      </c>
    </row>
    <row r="256" spans="1:1" x14ac:dyDescent="0.25">
      <c r="A256" s="439" t="str">
        <f t="shared" si="3"/>
        <v>0_0</v>
      </c>
    </row>
    <row r="257" spans="1:1" x14ac:dyDescent="0.25">
      <c r="A257" s="439" t="str">
        <f t="shared" si="3"/>
        <v>0_0</v>
      </c>
    </row>
    <row r="258" spans="1:1" x14ac:dyDescent="0.25">
      <c r="A258" s="439" t="str">
        <f t="shared" si="3"/>
        <v>0_0</v>
      </c>
    </row>
    <row r="259" spans="1:1" x14ac:dyDescent="0.25">
      <c r="A259" s="439" t="str">
        <f t="shared" si="3"/>
        <v>0_0</v>
      </c>
    </row>
    <row r="260" spans="1:1" x14ac:dyDescent="0.25">
      <c r="A260" s="439" t="str">
        <f t="shared" ref="A260:A323" si="4" xml:space="preserve"> IFERROR(+B260*1,B260)&amp;"_"&amp;IFERROR(+D260*1,D260)</f>
        <v>0_0</v>
      </c>
    </row>
    <row r="261" spans="1:1" x14ac:dyDescent="0.25">
      <c r="A261" s="439" t="str">
        <f t="shared" si="4"/>
        <v>0_0</v>
      </c>
    </row>
    <row r="262" spans="1:1" x14ac:dyDescent="0.25">
      <c r="A262" s="439" t="str">
        <f t="shared" si="4"/>
        <v>0_0</v>
      </c>
    </row>
    <row r="263" spans="1:1" x14ac:dyDescent="0.25">
      <c r="A263" s="439" t="str">
        <f t="shared" si="4"/>
        <v>0_0</v>
      </c>
    </row>
    <row r="264" spans="1:1" x14ac:dyDescent="0.25">
      <c r="A264" s="439" t="str">
        <f t="shared" si="4"/>
        <v>0_0</v>
      </c>
    </row>
    <row r="265" spans="1:1" x14ac:dyDescent="0.25">
      <c r="A265" s="439" t="str">
        <f t="shared" si="4"/>
        <v>0_0</v>
      </c>
    </row>
    <row r="266" spans="1:1" x14ac:dyDescent="0.25">
      <c r="A266" s="439" t="str">
        <f t="shared" si="4"/>
        <v>0_0</v>
      </c>
    </row>
    <row r="267" spans="1:1" x14ac:dyDescent="0.25">
      <c r="A267" s="439" t="str">
        <f t="shared" si="4"/>
        <v>0_0</v>
      </c>
    </row>
    <row r="268" spans="1:1" x14ac:dyDescent="0.25">
      <c r="A268" s="439" t="str">
        <f t="shared" si="4"/>
        <v>0_0</v>
      </c>
    </row>
    <row r="269" spans="1:1" x14ac:dyDescent="0.25">
      <c r="A269" s="439" t="str">
        <f t="shared" si="4"/>
        <v>0_0</v>
      </c>
    </row>
    <row r="270" spans="1:1" x14ac:dyDescent="0.25">
      <c r="A270" s="439" t="str">
        <f t="shared" si="4"/>
        <v>0_0</v>
      </c>
    </row>
    <row r="271" spans="1:1" x14ac:dyDescent="0.25">
      <c r="A271" s="439" t="str">
        <f t="shared" si="4"/>
        <v>0_0</v>
      </c>
    </row>
    <row r="272" spans="1:1" x14ac:dyDescent="0.25">
      <c r="A272" s="439" t="str">
        <f t="shared" si="4"/>
        <v>0_0</v>
      </c>
    </row>
    <row r="273" spans="1:1" x14ac:dyDescent="0.25">
      <c r="A273" s="439" t="str">
        <f t="shared" si="4"/>
        <v>0_0</v>
      </c>
    </row>
    <row r="274" spans="1:1" x14ac:dyDescent="0.25">
      <c r="A274" s="439" t="str">
        <f t="shared" si="4"/>
        <v>0_0</v>
      </c>
    </row>
    <row r="275" spans="1:1" x14ac:dyDescent="0.25">
      <c r="A275" s="439" t="str">
        <f t="shared" si="4"/>
        <v>0_0</v>
      </c>
    </row>
    <row r="276" spans="1:1" x14ac:dyDescent="0.25">
      <c r="A276" s="439" t="str">
        <f t="shared" si="4"/>
        <v>0_0</v>
      </c>
    </row>
    <row r="277" spans="1:1" x14ac:dyDescent="0.25">
      <c r="A277" s="439" t="str">
        <f t="shared" si="4"/>
        <v>0_0</v>
      </c>
    </row>
    <row r="278" spans="1:1" x14ac:dyDescent="0.25">
      <c r="A278" s="439" t="str">
        <f t="shared" si="4"/>
        <v>0_0</v>
      </c>
    </row>
    <row r="279" spans="1:1" x14ac:dyDescent="0.25">
      <c r="A279" s="439" t="str">
        <f t="shared" si="4"/>
        <v>0_0</v>
      </c>
    </row>
    <row r="280" spans="1:1" x14ac:dyDescent="0.25">
      <c r="A280" s="439" t="str">
        <f t="shared" si="4"/>
        <v>0_0</v>
      </c>
    </row>
    <row r="281" spans="1:1" x14ac:dyDescent="0.25">
      <c r="A281" s="439" t="str">
        <f t="shared" si="4"/>
        <v>0_0</v>
      </c>
    </row>
    <row r="282" spans="1:1" x14ac:dyDescent="0.25">
      <c r="A282" s="439" t="str">
        <f t="shared" si="4"/>
        <v>0_0</v>
      </c>
    </row>
    <row r="283" spans="1:1" x14ac:dyDescent="0.25">
      <c r="A283" s="439" t="str">
        <f t="shared" si="4"/>
        <v>0_0</v>
      </c>
    </row>
    <row r="284" spans="1:1" x14ac:dyDescent="0.25">
      <c r="A284" s="439" t="str">
        <f t="shared" si="4"/>
        <v>0_0</v>
      </c>
    </row>
    <row r="285" spans="1:1" x14ac:dyDescent="0.25">
      <c r="A285" s="439" t="str">
        <f t="shared" si="4"/>
        <v>0_0</v>
      </c>
    </row>
    <row r="286" spans="1:1" x14ac:dyDescent="0.25">
      <c r="A286" s="439" t="str">
        <f t="shared" si="4"/>
        <v>0_0</v>
      </c>
    </row>
    <row r="287" spans="1:1" x14ac:dyDescent="0.25">
      <c r="A287" s="439" t="str">
        <f t="shared" si="4"/>
        <v>0_0</v>
      </c>
    </row>
    <row r="288" spans="1:1" x14ac:dyDescent="0.25">
      <c r="A288" s="439" t="str">
        <f t="shared" si="4"/>
        <v>0_0</v>
      </c>
    </row>
    <row r="289" spans="1:1" x14ac:dyDescent="0.25">
      <c r="A289" s="439" t="str">
        <f t="shared" si="4"/>
        <v>0_0</v>
      </c>
    </row>
    <row r="290" spans="1:1" x14ac:dyDescent="0.25">
      <c r="A290" s="439" t="str">
        <f t="shared" si="4"/>
        <v>0_0</v>
      </c>
    </row>
    <row r="291" spans="1:1" x14ac:dyDescent="0.25">
      <c r="A291" s="439" t="str">
        <f t="shared" si="4"/>
        <v>0_0</v>
      </c>
    </row>
    <row r="292" spans="1:1" x14ac:dyDescent="0.25">
      <c r="A292" s="439" t="str">
        <f t="shared" si="4"/>
        <v>0_0</v>
      </c>
    </row>
    <row r="293" spans="1:1" x14ac:dyDescent="0.25">
      <c r="A293" s="439" t="str">
        <f t="shared" si="4"/>
        <v>0_0</v>
      </c>
    </row>
    <row r="294" spans="1:1" x14ac:dyDescent="0.25">
      <c r="A294" s="439" t="str">
        <f t="shared" si="4"/>
        <v>0_0</v>
      </c>
    </row>
    <row r="295" spans="1:1" x14ac:dyDescent="0.25">
      <c r="A295" s="439" t="str">
        <f t="shared" si="4"/>
        <v>0_0</v>
      </c>
    </row>
    <row r="296" spans="1:1" x14ac:dyDescent="0.25">
      <c r="A296" s="439" t="str">
        <f t="shared" si="4"/>
        <v>0_0</v>
      </c>
    </row>
    <row r="297" spans="1:1" x14ac:dyDescent="0.25">
      <c r="A297" s="439" t="str">
        <f t="shared" si="4"/>
        <v>0_0</v>
      </c>
    </row>
    <row r="298" spans="1:1" x14ac:dyDescent="0.25">
      <c r="A298" s="439" t="str">
        <f t="shared" si="4"/>
        <v>0_0</v>
      </c>
    </row>
    <row r="299" spans="1:1" x14ac:dyDescent="0.25">
      <c r="A299" s="439" t="str">
        <f t="shared" si="4"/>
        <v>0_0</v>
      </c>
    </row>
    <row r="300" spans="1:1" x14ac:dyDescent="0.25">
      <c r="A300" s="439" t="str">
        <f t="shared" si="4"/>
        <v>0_0</v>
      </c>
    </row>
    <row r="301" spans="1:1" x14ac:dyDescent="0.25">
      <c r="A301" s="439" t="str">
        <f t="shared" si="4"/>
        <v>0_0</v>
      </c>
    </row>
    <row r="302" spans="1:1" x14ac:dyDescent="0.25">
      <c r="A302" s="439" t="str">
        <f t="shared" si="4"/>
        <v>0_0</v>
      </c>
    </row>
    <row r="303" spans="1:1" x14ac:dyDescent="0.25">
      <c r="A303" s="439" t="str">
        <f t="shared" si="4"/>
        <v>0_0</v>
      </c>
    </row>
    <row r="304" spans="1:1" x14ac:dyDescent="0.25">
      <c r="A304" s="439" t="str">
        <f t="shared" si="4"/>
        <v>0_0</v>
      </c>
    </row>
    <row r="305" spans="1:1" x14ac:dyDescent="0.25">
      <c r="A305" s="439" t="str">
        <f t="shared" si="4"/>
        <v>0_0</v>
      </c>
    </row>
    <row r="306" spans="1:1" x14ac:dyDescent="0.25">
      <c r="A306" s="439" t="str">
        <f t="shared" si="4"/>
        <v>0_0</v>
      </c>
    </row>
    <row r="307" spans="1:1" x14ac:dyDescent="0.25">
      <c r="A307" s="439" t="str">
        <f t="shared" si="4"/>
        <v>0_0</v>
      </c>
    </row>
    <row r="308" spans="1:1" x14ac:dyDescent="0.25">
      <c r="A308" s="439" t="str">
        <f t="shared" si="4"/>
        <v>0_0</v>
      </c>
    </row>
    <row r="309" spans="1:1" x14ac:dyDescent="0.25">
      <c r="A309" s="439" t="str">
        <f t="shared" si="4"/>
        <v>0_0</v>
      </c>
    </row>
    <row r="310" spans="1:1" x14ac:dyDescent="0.25">
      <c r="A310" s="439" t="str">
        <f t="shared" si="4"/>
        <v>0_0</v>
      </c>
    </row>
    <row r="311" spans="1:1" x14ac:dyDescent="0.25">
      <c r="A311" s="439" t="str">
        <f t="shared" si="4"/>
        <v>0_0</v>
      </c>
    </row>
    <row r="312" spans="1:1" x14ac:dyDescent="0.25">
      <c r="A312" s="439" t="str">
        <f t="shared" si="4"/>
        <v>0_0</v>
      </c>
    </row>
    <row r="313" spans="1:1" x14ac:dyDescent="0.25">
      <c r="A313" s="439" t="str">
        <f t="shared" si="4"/>
        <v>0_0</v>
      </c>
    </row>
    <row r="314" spans="1:1" x14ac:dyDescent="0.25">
      <c r="A314" s="439" t="str">
        <f t="shared" si="4"/>
        <v>0_0</v>
      </c>
    </row>
    <row r="315" spans="1:1" x14ac:dyDescent="0.25">
      <c r="A315" s="439" t="str">
        <f t="shared" si="4"/>
        <v>0_0</v>
      </c>
    </row>
    <row r="316" spans="1:1" x14ac:dyDescent="0.25">
      <c r="A316" s="439" t="str">
        <f t="shared" si="4"/>
        <v>0_0</v>
      </c>
    </row>
    <row r="317" spans="1:1" x14ac:dyDescent="0.25">
      <c r="A317" s="439" t="str">
        <f t="shared" si="4"/>
        <v>0_0</v>
      </c>
    </row>
    <row r="318" spans="1:1" x14ac:dyDescent="0.25">
      <c r="A318" s="439" t="str">
        <f t="shared" si="4"/>
        <v>0_0</v>
      </c>
    </row>
    <row r="319" spans="1:1" x14ac:dyDescent="0.25">
      <c r="A319" s="439" t="str">
        <f t="shared" si="4"/>
        <v>0_0</v>
      </c>
    </row>
    <row r="320" spans="1:1" x14ac:dyDescent="0.25">
      <c r="A320" s="439" t="str">
        <f t="shared" si="4"/>
        <v>0_0</v>
      </c>
    </row>
    <row r="321" spans="1:1" x14ac:dyDescent="0.25">
      <c r="A321" s="439" t="str">
        <f t="shared" si="4"/>
        <v>0_0</v>
      </c>
    </row>
    <row r="322" spans="1:1" x14ac:dyDescent="0.25">
      <c r="A322" s="439" t="str">
        <f t="shared" si="4"/>
        <v>0_0</v>
      </c>
    </row>
    <row r="323" spans="1:1" x14ac:dyDescent="0.25">
      <c r="A323" s="439" t="str">
        <f t="shared" si="4"/>
        <v>0_0</v>
      </c>
    </row>
    <row r="324" spans="1:1" x14ac:dyDescent="0.25">
      <c r="A324" s="439" t="str">
        <f t="shared" ref="A324:A387" si="5" xml:space="preserve"> IFERROR(+B324*1,B324)&amp;"_"&amp;IFERROR(+D324*1,D324)</f>
        <v>0_0</v>
      </c>
    </row>
    <row r="325" spans="1:1" x14ac:dyDescent="0.25">
      <c r="A325" s="439" t="str">
        <f t="shared" si="5"/>
        <v>0_0</v>
      </c>
    </row>
    <row r="326" spans="1:1" x14ac:dyDescent="0.25">
      <c r="A326" s="439" t="str">
        <f t="shared" si="5"/>
        <v>0_0</v>
      </c>
    </row>
    <row r="327" spans="1:1" x14ac:dyDescent="0.25">
      <c r="A327" s="439" t="str">
        <f t="shared" si="5"/>
        <v>0_0</v>
      </c>
    </row>
    <row r="328" spans="1:1" x14ac:dyDescent="0.25">
      <c r="A328" s="439" t="str">
        <f t="shared" si="5"/>
        <v>0_0</v>
      </c>
    </row>
    <row r="329" spans="1:1" x14ac:dyDescent="0.25">
      <c r="A329" s="439" t="str">
        <f t="shared" si="5"/>
        <v>0_0</v>
      </c>
    </row>
    <row r="330" spans="1:1" x14ac:dyDescent="0.25">
      <c r="A330" s="439" t="str">
        <f t="shared" si="5"/>
        <v>0_0</v>
      </c>
    </row>
    <row r="331" spans="1:1" x14ac:dyDescent="0.25">
      <c r="A331" s="439" t="str">
        <f t="shared" si="5"/>
        <v>0_0</v>
      </c>
    </row>
    <row r="332" spans="1:1" x14ac:dyDescent="0.25">
      <c r="A332" s="439" t="str">
        <f t="shared" si="5"/>
        <v>0_0</v>
      </c>
    </row>
    <row r="333" spans="1:1" x14ac:dyDescent="0.25">
      <c r="A333" s="439" t="str">
        <f t="shared" si="5"/>
        <v>0_0</v>
      </c>
    </row>
    <row r="334" spans="1:1" x14ac:dyDescent="0.25">
      <c r="A334" s="439" t="str">
        <f t="shared" si="5"/>
        <v>0_0</v>
      </c>
    </row>
    <row r="335" spans="1:1" x14ac:dyDescent="0.25">
      <c r="A335" s="439" t="str">
        <f t="shared" si="5"/>
        <v>0_0</v>
      </c>
    </row>
    <row r="336" spans="1:1" x14ac:dyDescent="0.25">
      <c r="A336" s="439" t="str">
        <f t="shared" si="5"/>
        <v>0_0</v>
      </c>
    </row>
    <row r="337" spans="1:1" x14ac:dyDescent="0.25">
      <c r="A337" s="439" t="str">
        <f t="shared" si="5"/>
        <v>0_0</v>
      </c>
    </row>
    <row r="338" spans="1:1" x14ac:dyDescent="0.25">
      <c r="A338" s="439" t="str">
        <f t="shared" si="5"/>
        <v>0_0</v>
      </c>
    </row>
    <row r="339" spans="1:1" x14ac:dyDescent="0.25">
      <c r="A339" s="439" t="str">
        <f t="shared" si="5"/>
        <v>0_0</v>
      </c>
    </row>
    <row r="340" spans="1:1" x14ac:dyDescent="0.25">
      <c r="A340" s="439" t="str">
        <f t="shared" si="5"/>
        <v>0_0</v>
      </c>
    </row>
    <row r="341" spans="1:1" x14ac:dyDescent="0.25">
      <c r="A341" s="439" t="str">
        <f t="shared" si="5"/>
        <v>0_0</v>
      </c>
    </row>
    <row r="342" spans="1:1" x14ac:dyDescent="0.25">
      <c r="A342" s="439" t="str">
        <f t="shared" si="5"/>
        <v>0_0</v>
      </c>
    </row>
    <row r="343" spans="1:1" x14ac:dyDescent="0.25">
      <c r="A343" s="439" t="str">
        <f t="shared" si="5"/>
        <v>0_0</v>
      </c>
    </row>
    <row r="344" spans="1:1" x14ac:dyDescent="0.25">
      <c r="A344" s="439" t="str">
        <f t="shared" si="5"/>
        <v>0_0</v>
      </c>
    </row>
    <row r="345" spans="1:1" x14ac:dyDescent="0.25">
      <c r="A345" s="439" t="str">
        <f t="shared" si="5"/>
        <v>0_0</v>
      </c>
    </row>
    <row r="346" spans="1:1" x14ac:dyDescent="0.25">
      <c r="A346" s="439" t="str">
        <f t="shared" si="5"/>
        <v>0_0</v>
      </c>
    </row>
    <row r="347" spans="1:1" x14ac:dyDescent="0.25">
      <c r="A347" s="439" t="str">
        <f t="shared" si="5"/>
        <v>0_0</v>
      </c>
    </row>
    <row r="348" spans="1:1" x14ac:dyDescent="0.25">
      <c r="A348" s="439" t="str">
        <f t="shared" si="5"/>
        <v>0_0</v>
      </c>
    </row>
    <row r="349" spans="1:1" x14ac:dyDescent="0.25">
      <c r="A349" s="439" t="str">
        <f t="shared" si="5"/>
        <v>0_0</v>
      </c>
    </row>
    <row r="350" spans="1:1" x14ac:dyDescent="0.25">
      <c r="A350" s="439" t="str">
        <f t="shared" si="5"/>
        <v>0_0</v>
      </c>
    </row>
    <row r="351" spans="1:1" x14ac:dyDescent="0.25">
      <c r="A351" s="439" t="str">
        <f t="shared" si="5"/>
        <v>0_0</v>
      </c>
    </row>
    <row r="352" spans="1:1" x14ac:dyDescent="0.25">
      <c r="A352" s="439" t="str">
        <f t="shared" si="5"/>
        <v>0_0</v>
      </c>
    </row>
    <row r="353" spans="1:1" x14ac:dyDescent="0.25">
      <c r="A353" s="439" t="str">
        <f t="shared" si="5"/>
        <v>0_0</v>
      </c>
    </row>
    <row r="354" spans="1:1" x14ac:dyDescent="0.25">
      <c r="A354" s="439" t="str">
        <f t="shared" si="5"/>
        <v>0_0</v>
      </c>
    </row>
    <row r="355" spans="1:1" x14ac:dyDescent="0.25">
      <c r="A355" s="439" t="str">
        <f t="shared" si="5"/>
        <v>0_0</v>
      </c>
    </row>
    <row r="356" spans="1:1" x14ac:dyDescent="0.25">
      <c r="A356" s="439" t="str">
        <f t="shared" si="5"/>
        <v>0_0</v>
      </c>
    </row>
    <row r="357" spans="1:1" x14ac:dyDescent="0.25">
      <c r="A357" s="439" t="str">
        <f t="shared" si="5"/>
        <v>0_0</v>
      </c>
    </row>
    <row r="358" spans="1:1" x14ac:dyDescent="0.25">
      <c r="A358" s="439" t="str">
        <f t="shared" si="5"/>
        <v>0_0</v>
      </c>
    </row>
    <row r="359" spans="1:1" x14ac:dyDescent="0.25">
      <c r="A359" s="439" t="str">
        <f t="shared" si="5"/>
        <v>0_0</v>
      </c>
    </row>
    <row r="360" spans="1:1" x14ac:dyDescent="0.25">
      <c r="A360" s="439" t="str">
        <f t="shared" si="5"/>
        <v>0_0</v>
      </c>
    </row>
    <row r="361" spans="1:1" x14ac:dyDescent="0.25">
      <c r="A361" s="439" t="str">
        <f t="shared" si="5"/>
        <v>0_0</v>
      </c>
    </row>
    <row r="362" spans="1:1" x14ac:dyDescent="0.25">
      <c r="A362" s="439" t="str">
        <f t="shared" si="5"/>
        <v>0_0</v>
      </c>
    </row>
    <row r="363" spans="1:1" x14ac:dyDescent="0.25">
      <c r="A363" s="439" t="str">
        <f t="shared" si="5"/>
        <v>0_0</v>
      </c>
    </row>
    <row r="364" spans="1:1" x14ac:dyDescent="0.25">
      <c r="A364" s="439" t="str">
        <f t="shared" si="5"/>
        <v>0_0</v>
      </c>
    </row>
    <row r="365" spans="1:1" x14ac:dyDescent="0.25">
      <c r="A365" s="439" t="str">
        <f t="shared" si="5"/>
        <v>0_0</v>
      </c>
    </row>
    <row r="366" spans="1:1" x14ac:dyDescent="0.25">
      <c r="A366" s="439" t="str">
        <f t="shared" si="5"/>
        <v>0_0</v>
      </c>
    </row>
    <row r="367" spans="1:1" x14ac:dyDescent="0.25">
      <c r="A367" s="439" t="str">
        <f t="shared" si="5"/>
        <v>0_0</v>
      </c>
    </row>
    <row r="368" spans="1:1" x14ac:dyDescent="0.25">
      <c r="A368" s="439" t="str">
        <f t="shared" si="5"/>
        <v>0_0</v>
      </c>
    </row>
    <row r="369" spans="1:1" x14ac:dyDescent="0.25">
      <c r="A369" s="439" t="str">
        <f t="shared" si="5"/>
        <v>0_0</v>
      </c>
    </row>
    <row r="370" spans="1:1" x14ac:dyDescent="0.25">
      <c r="A370" s="439" t="str">
        <f t="shared" si="5"/>
        <v>0_0</v>
      </c>
    </row>
    <row r="371" spans="1:1" x14ac:dyDescent="0.25">
      <c r="A371" s="439" t="str">
        <f t="shared" si="5"/>
        <v>0_0</v>
      </c>
    </row>
    <row r="372" spans="1:1" x14ac:dyDescent="0.25">
      <c r="A372" s="439" t="str">
        <f t="shared" si="5"/>
        <v>0_0</v>
      </c>
    </row>
    <row r="373" spans="1:1" x14ac:dyDescent="0.25">
      <c r="A373" s="439" t="str">
        <f t="shared" si="5"/>
        <v>0_0</v>
      </c>
    </row>
    <row r="374" spans="1:1" x14ac:dyDescent="0.25">
      <c r="A374" s="439" t="str">
        <f t="shared" si="5"/>
        <v>0_0</v>
      </c>
    </row>
    <row r="375" spans="1:1" x14ac:dyDescent="0.25">
      <c r="A375" s="439" t="str">
        <f t="shared" si="5"/>
        <v>0_0</v>
      </c>
    </row>
    <row r="376" spans="1:1" x14ac:dyDescent="0.25">
      <c r="A376" s="439" t="str">
        <f t="shared" si="5"/>
        <v>0_0</v>
      </c>
    </row>
    <row r="377" spans="1:1" x14ac:dyDescent="0.25">
      <c r="A377" s="439" t="str">
        <f t="shared" si="5"/>
        <v>0_0</v>
      </c>
    </row>
    <row r="378" spans="1:1" x14ac:dyDescent="0.25">
      <c r="A378" s="439" t="str">
        <f t="shared" si="5"/>
        <v>0_0</v>
      </c>
    </row>
    <row r="379" spans="1:1" x14ac:dyDescent="0.25">
      <c r="A379" s="439" t="str">
        <f t="shared" si="5"/>
        <v>0_0</v>
      </c>
    </row>
    <row r="380" spans="1:1" x14ac:dyDescent="0.25">
      <c r="A380" s="439" t="str">
        <f t="shared" si="5"/>
        <v>0_0</v>
      </c>
    </row>
    <row r="381" spans="1:1" x14ac:dyDescent="0.25">
      <c r="A381" s="439" t="str">
        <f t="shared" si="5"/>
        <v>0_0</v>
      </c>
    </row>
    <row r="382" spans="1:1" x14ac:dyDescent="0.25">
      <c r="A382" s="439" t="str">
        <f t="shared" si="5"/>
        <v>0_0</v>
      </c>
    </row>
    <row r="383" spans="1:1" x14ac:dyDescent="0.25">
      <c r="A383" s="439" t="str">
        <f t="shared" si="5"/>
        <v>0_0</v>
      </c>
    </row>
    <row r="384" spans="1:1" x14ac:dyDescent="0.25">
      <c r="A384" s="439" t="str">
        <f t="shared" si="5"/>
        <v>0_0</v>
      </c>
    </row>
    <row r="385" spans="1:1" x14ac:dyDescent="0.25">
      <c r="A385" s="439" t="str">
        <f t="shared" si="5"/>
        <v>0_0</v>
      </c>
    </row>
    <row r="386" spans="1:1" x14ac:dyDescent="0.25">
      <c r="A386" s="439" t="str">
        <f t="shared" si="5"/>
        <v>0_0</v>
      </c>
    </row>
    <row r="387" spans="1:1" x14ac:dyDescent="0.25">
      <c r="A387" s="439" t="str">
        <f t="shared" si="5"/>
        <v>0_0</v>
      </c>
    </row>
    <row r="388" spans="1:1" x14ac:dyDescent="0.25">
      <c r="A388" s="439" t="str">
        <f t="shared" ref="A388:A450" si="6" xml:space="preserve"> IFERROR(+B388*1,B388)&amp;"_"&amp;IFERROR(+D388*1,D388)</f>
        <v>0_0</v>
      </c>
    </row>
    <row r="389" spans="1:1" x14ac:dyDescent="0.25">
      <c r="A389" s="439" t="str">
        <f t="shared" si="6"/>
        <v>0_0</v>
      </c>
    </row>
    <row r="390" spans="1:1" x14ac:dyDescent="0.25">
      <c r="A390" s="439" t="str">
        <f t="shared" si="6"/>
        <v>0_0</v>
      </c>
    </row>
    <row r="391" spans="1:1" x14ac:dyDescent="0.25">
      <c r="A391" s="439" t="str">
        <f t="shared" si="6"/>
        <v>0_0</v>
      </c>
    </row>
    <row r="392" spans="1:1" x14ac:dyDescent="0.25">
      <c r="A392" s="439" t="str">
        <f t="shared" si="6"/>
        <v>0_0</v>
      </c>
    </row>
    <row r="393" spans="1:1" x14ac:dyDescent="0.25">
      <c r="A393" s="439" t="str">
        <f t="shared" si="6"/>
        <v>0_0</v>
      </c>
    </row>
    <row r="394" spans="1:1" x14ac:dyDescent="0.25">
      <c r="A394" s="439" t="str">
        <f t="shared" si="6"/>
        <v>0_0</v>
      </c>
    </row>
    <row r="395" spans="1:1" x14ac:dyDescent="0.25">
      <c r="A395" s="439" t="str">
        <f t="shared" si="6"/>
        <v>0_0</v>
      </c>
    </row>
    <row r="396" spans="1:1" x14ac:dyDescent="0.25">
      <c r="A396" s="439" t="str">
        <f t="shared" si="6"/>
        <v>0_0</v>
      </c>
    </row>
    <row r="397" spans="1:1" x14ac:dyDescent="0.25">
      <c r="A397" s="439" t="str">
        <f t="shared" si="6"/>
        <v>0_0</v>
      </c>
    </row>
    <row r="398" spans="1:1" x14ac:dyDescent="0.25">
      <c r="A398" s="439" t="str">
        <f t="shared" si="6"/>
        <v>0_0</v>
      </c>
    </row>
    <row r="399" spans="1:1" x14ac:dyDescent="0.25">
      <c r="A399" s="439" t="str">
        <f t="shared" si="6"/>
        <v>0_0</v>
      </c>
    </row>
    <row r="400" spans="1:1" x14ac:dyDescent="0.25">
      <c r="A400" s="439" t="str">
        <f t="shared" si="6"/>
        <v>0_0</v>
      </c>
    </row>
    <row r="401" spans="1:1" x14ac:dyDescent="0.25">
      <c r="A401" s="439" t="str">
        <f t="shared" si="6"/>
        <v>0_0</v>
      </c>
    </row>
    <row r="402" spans="1:1" x14ac:dyDescent="0.25">
      <c r="A402" s="439" t="str">
        <f t="shared" si="6"/>
        <v>0_0</v>
      </c>
    </row>
    <row r="403" spans="1:1" x14ac:dyDescent="0.25">
      <c r="A403" s="439" t="str">
        <f t="shared" si="6"/>
        <v>0_0</v>
      </c>
    </row>
    <row r="404" spans="1:1" x14ac:dyDescent="0.25">
      <c r="A404" s="439" t="str">
        <f t="shared" si="6"/>
        <v>0_0</v>
      </c>
    </row>
    <row r="405" spans="1:1" x14ac:dyDescent="0.25">
      <c r="A405" s="439" t="str">
        <f t="shared" si="6"/>
        <v>0_0</v>
      </c>
    </row>
    <row r="406" spans="1:1" x14ac:dyDescent="0.25">
      <c r="A406" s="439" t="str">
        <f t="shared" si="6"/>
        <v>0_0</v>
      </c>
    </row>
    <row r="407" spans="1:1" x14ac:dyDescent="0.25">
      <c r="A407" s="439" t="str">
        <f t="shared" si="6"/>
        <v>0_0</v>
      </c>
    </row>
    <row r="408" spans="1:1" x14ac:dyDescent="0.25">
      <c r="A408" s="439" t="str">
        <f t="shared" si="6"/>
        <v>0_0</v>
      </c>
    </row>
    <row r="409" spans="1:1" x14ac:dyDescent="0.25">
      <c r="A409" s="439" t="str">
        <f t="shared" si="6"/>
        <v>0_0</v>
      </c>
    </row>
    <row r="410" spans="1:1" x14ac:dyDescent="0.25">
      <c r="A410" s="439" t="str">
        <f t="shared" si="6"/>
        <v>0_0</v>
      </c>
    </row>
    <row r="411" spans="1:1" x14ac:dyDescent="0.25">
      <c r="A411" s="439" t="str">
        <f t="shared" si="6"/>
        <v>0_0</v>
      </c>
    </row>
    <row r="412" spans="1:1" x14ac:dyDescent="0.25">
      <c r="A412" s="439" t="str">
        <f t="shared" si="6"/>
        <v>0_0</v>
      </c>
    </row>
    <row r="413" spans="1:1" x14ac:dyDescent="0.25">
      <c r="A413" s="439" t="str">
        <f t="shared" si="6"/>
        <v>0_0</v>
      </c>
    </row>
    <row r="414" spans="1:1" x14ac:dyDescent="0.25">
      <c r="A414" s="439" t="str">
        <f t="shared" si="6"/>
        <v>0_0</v>
      </c>
    </row>
    <row r="415" spans="1:1" x14ac:dyDescent="0.25">
      <c r="A415" s="439" t="str">
        <f t="shared" si="6"/>
        <v>0_0</v>
      </c>
    </row>
    <row r="416" spans="1:1" x14ac:dyDescent="0.25">
      <c r="A416" s="439" t="str">
        <f t="shared" si="6"/>
        <v>0_0</v>
      </c>
    </row>
    <row r="417" spans="1:1" x14ac:dyDescent="0.25">
      <c r="A417" s="439" t="str">
        <f t="shared" si="6"/>
        <v>0_0</v>
      </c>
    </row>
    <row r="418" spans="1:1" x14ac:dyDescent="0.25">
      <c r="A418" s="439" t="str">
        <f t="shared" si="6"/>
        <v>0_0</v>
      </c>
    </row>
    <row r="419" spans="1:1" x14ac:dyDescent="0.25">
      <c r="A419" s="439" t="str">
        <f t="shared" si="6"/>
        <v>0_0</v>
      </c>
    </row>
    <row r="420" spans="1:1" x14ac:dyDescent="0.25">
      <c r="A420" s="439" t="str">
        <f t="shared" si="6"/>
        <v>0_0</v>
      </c>
    </row>
    <row r="421" spans="1:1" x14ac:dyDescent="0.25">
      <c r="A421" s="439" t="str">
        <f t="shared" si="6"/>
        <v>0_0</v>
      </c>
    </row>
    <row r="422" spans="1:1" x14ac:dyDescent="0.25">
      <c r="A422" s="439" t="str">
        <f t="shared" si="6"/>
        <v>0_0</v>
      </c>
    </row>
    <row r="423" spans="1:1" x14ac:dyDescent="0.25">
      <c r="A423" s="439" t="str">
        <f t="shared" si="6"/>
        <v>0_0</v>
      </c>
    </row>
    <row r="424" spans="1:1" x14ac:dyDescent="0.25">
      <c r="A424" s="439" t="str">
        <f t="shared" si="6"/>
        <v>0_0</v>
      </c>
    </row>
    <row r="425" spans="1:1" x14ac:dyDescent="0.25">
      <c r="A425" s="439" t="str">
        <f t="shared" si="6"/>
        <v>0_0</v>
      </c>
    </row>
    <row r="426" spans="1:1" x14ac:dyDescent="0.25">
      <c r="A426" s="439" t="str">
        <f t="shared" si="6"/>
        <v>0_0</v>
      </c>
    </row>
    <row r="427" spans="1:1" x14ac:dyDescent="0.25">
      <c r="A427" s="439" t="str">
        <f t="shared" si="6"/>
        <v>0_0</v>
      </c>
    </row>
    <row r="428" spans="1:1" x14ac:dyDescent="0.25">
      <c r="A428" s="439" t="str">
        <f t="shared" si="6"/>
        <v>0_0</v>
      </c>
    </row>
    <row r="429" spans="1:1" x14ac:dyDescent="0.25">
      <c r="A429" s="439" t="str">
        <f t="shared" si="6"/>
        <v>0_0</v>
      </c>
    </row>
    <row r="430" spans="1:1" x14ac:dyDescent="0.25">
      <c r="A430" s="439" t="str">
        <f t="shared" si="6"/>
        <v>0_0</v>
      </c>
    </row>
    <row r="431" spans="1:1" x14ac:dyDescent="0.25">
      <c r="A431" s="439" t="str">
        <f t="shared" si="6"/>
        <v>0_0</v>
      </c>
    </row>
    <row r="432" spans="1:1" x14ac:dyDescent="0.25">
      <c r="A432" s="439" t="str">
        <f t="shared" si="6"/>
        <v>0_0</v>
      </c>
    </row>
    <row r="433" spans="1:1" x14ac:dyDescent="0.25">
      <c r="A433" s="439" t="str">
        <f t="shared" si="6"/>
        <v>0_0</v>
      </c>
    </row>
    <row r="434" spans="1:1" x14ac:dyDescent="0.25">
      <c r="A434" s="439" t="str">
        <f t="shared" si="6"/>
        <v>0_0</v>
      </c>
    </row>
    <row r="435" spans="1:1" x14ac:dyDescent="0.25">
      <c r="A435" s="439" t="str">
        <f t="shared" si="6"/>
        <v>0_0</v>
      </c>
    </row>
    <row r="436" spans="1:1" x14ac:dyDescent="0.25">
      <c r="A436" s="439" t="str">
        <f t="shared" si="6"/>
        <v>0_0</v>
      </c>
    </row>
    <row r="437" spans="1:1" x14ac:dyDescent="0.25">
      <c r="A437" s="439" t="str">
        <f t="shared" si="6"/>
        <v>0_0</v>
      </c>
    </row>
    <row r="438" spans="1:1" x14ac:dyDescent="0.25">
      <c r="A438" s="439" t="str">
        <f t="shared" si="6"/>
        <v>0_0</v>
      </c>
    </row>
    <row r="439" spans="1:1" x14ac:dyDescent="0.25">
      <c r="A439" s="439" t="str">
        <f t="shared" si="6"/>
        <v>0_0</v>
      </c>
    </row>
    <row r="440" spans="1:1" x14ac:dyDescent="0.25">
      <c r="A440" s="439" t="str">
        <f t="shared" si="6"/>
        <v>0_0</v>
      </c>
    </row>
    <row r="441" spans="1:1" x14ac:dyDescent="0.25">
      <c r="A441" s="439" t="str">
        <f t="shared" si="6"/>
        <v>0_0</v>
      </c>
    </row>
    <row r="442" spans="1:1" x14ac:dyDescent="0.25">
      <c r="A442" s="439" t="str">
        <f t="shared" si="6"/>
        <v>0_0</v>
      </c>
    </row>
    <row r="443" spans="1:1" x14ac:dyDescent="0.25">
      <c r="A443" s="439" t="str">
        <f t="shared" si="6"/>
        <v>0_0</v>
      </c>
    </row>
    <row r="444" spans="1:1" x14ac:dyDescent="0.25">
      <c r="A444" s="439" t="str">
        <f t="shared" si="6"/>
        <v>0_0</v>
      </c>
    </row>
    <row r="445" spans="1:1" x14ac:dyDescent="0.25">
      <c r="A445" s="439" t="str">
        <f t="shared" si="6"/>
        <v>0_0</v>
      </c>
    </row>
    <row r="446" spans="1:1" x14ac:dyDescent="0.25">
      <c r="A446" s="439" t="str">
        <f t="shared" si="6"/>
        <v>0_0</v>
      </c>
    </row>
    <row r="447" spans="1:1" x14ac:dyDescent="0.25">
      <c r="A447" s="439" t="str">
        <f t="shared" si="6"/>
        <v>0_0</v>
      </c>
    </row>
    <row r="448" spans="1:1" x14ac:dyDescent="0.25">
      <c r="A448" s="439" t="str">
        <f t="shared" si="6"/>
        <v>0_0</v>
      </c>
    </row>
    <row r="449" spans="1:1" x14ac:dyDescent="0.25">
      <c r="A449" s="439" t="str">
        <f t="shared" si="6"/>
        <v>0_0</v>
      </c>
    </row>
    <row r="450" spans="1:1" x14ac:dyDescent="0.25">
      <c r="A450" s="439" t="str">
        <f t="shared" si="6"/>
        <v>0_0</v>
      </c>
    </row>
    <row r="451" spans="1:1" x14ac:dyDescent="0.25">
      <c r="A451" s="439" t="str">
        <f xml:space="preserve"> IFERROR(+B451*1,B451)&amp;"_"&amp;IFERROR(+D451*1,D451)</f>
        <v>0_0</v>
      </c>
    </row>
    <row r="452" spans="1:1" x14ac:dyDescent="0.25">
      <c r="A452" s="439" t="str">
        <f t="shared" ref="A452:A515" si="7" xml:space="preserve"> IFERROR(+B452*1,B452)&amp;"_"&amp;IFERROR(+D452*1,D452)</f>
        <v>0_0</v>
      </c>
    </row>
    <row r="453" spans="1:1" x14ac:dyDescent="0.25">
      <c r="A453" s="439" t="str">
        <f t="shared" si="7"/>
        <v>0_0</v>
      </c>
    </row>
    <row r="454" spans="1:1" x14ac:dyDescent="0.25">
      <c r="A454" s="439" t="str">
        <f t="shared" si="7"/>
        <v>0_0</v>
      </c>
    </row>
    <row r="455" spans="1:1" x14ac:dyDescent="0.25">
      <c r="A455" s="439" t="str">
        <f t="shared" si="7"/>
        <v>0_0</v>
      </c>
    </row>
    <row r="456" spans="1:1" x14ac:dyDescent="0.25">
      <c r="A456" s="439" t="str">
        <f t="shared" si="7"/>
        <v>0_0</v>
      </c>
    </row>
    <row r="457" spans="1:1" x14ac:dyDescent="0.25">
      <c r="A457" s="439" t="str">
        <f t="shared" si="7"/>
        <v>0_0</v>
      </c>
    </row>
    <row r="458" spans="1:1" x14ac:dyDescent="0.25">
      <c r="A458" s="439" t="str">
        <f t="shared" si="7"/>
        <v>0_0</v>
      </c>
    </row>
    <row r="459" spans="1:1" x14ac:dyDescent="0.25">
      <c r="A459" s="439" t="str">
        <f t="shared" si="7"/>
        <v>0_0</v>
      </c>
    </row>
    <row r="460" spans="1:1" x14ac:dyDescent="0.25">
      <c r="A460" s="439" t="str">
        <f t="shared" si="7"/>
        <v>0_0</v>
      </c>
    </row>
    <row r="461" spans="1:1" x14ac:dyDescent="0.25">
      <c r="A461" s="439" t="str">
        <f t="shared" si="7"/>
        <v>0_0</v>
      </c>
    </row>
    <row r="462" spans="1:1" x14ac:dyDescent="0.25">
      <c r="A462" s="439" t="str">
        <f t="shared" si="7"/>
        <v>0_0</v>
      </c>
    </row>
    <row r="463" spans="1:1" x14ac:dyDescent="0.25">
      <c r="A463" s="439" t="str">
        <f t="shared" si="7"/>
        <v>0_0</v>
      </c>
    </row>
    <row r="464" spans="1:1" x14ac:dyDescent="0.25">
      <c r="A464" s="439" t="str">
        <f t="shared" si="7"/>
        <v>0_0</v>
      </c>
    </row>
    <row r="465" spans="1:1" x14ac:dyDescent="0.25">
      <c r="A465" s="439" t="str">
        <f t="shared" si="7"/>
        <v>0_0</v>
      </c>
    </row>
    <row r="466" spans="1:1" x14ac:dyDescent="0.25">
      <c r="A466" s="439" t="str">
        <f t="shared" si="7"/>
        <v>0_0</v>
      </c>
    </row>
    <row r="467" spans="1:1" x14ac:dyDescent="0.25">
      <c r="A467" s="439" t="str">
        <f t="shared" si="7"/>
        <v>0_0</v>
      </c>
    </row>
    <row r="468" spans="1:1" x14ac:dyDescent="0.25">
      <c r="A468" s="439" t="str">
        <f t="shared" si="7"/>
        <v>0_0</v>
      </c>
    </row>
    <row r="469" spans="1:1" x14ac:dyDescent="0.25">
      <c r="A469" s="439" t="str">
        <f t="shared" si="7"/>
        <v>0_0</v>
      </c>
    </row>
    <row r="470" spans="1:1" x14ac:dyDescent="0.25">
      <c r="A470" s="439" t="str">
        <f t="shared" si="7"/>
        <v>0_0</v>
      </c>
    </row>
    <row r="471" spans="1:1" x14ac:dyDescent="0.25">
      <c r="A471" s="439" t="str">
        <f t="shared" si="7"/>
        <v>0_0</v>
      </c>
    </row>
    <row r="472" spans="1:1" x14ac:dyDescent="0.25">
      <c r="A472" s="439" t="str">
        <f t="shared" si="7"/>
        <v>0_0</v>
      </c>
    </row>
    <row r="473" spans="1:1" x14ac:dyDescent="0.25">
      <c r="A473" s="439" t="str">
        <f t="shared" si="7"/>
        <v>0_0</v>
      </c>
    </row>
    <row r="474" spans="1:1" x14ac:dyDescent="0.25">
      <c r="A474" s="439" t="str">
        <f t="shared" si="7"/>
        <v>0_0</v>
      </c>
    </row>
    <row r="475" spans="1:1" x14ac:dyDescent="0.25">
      <c r="A475" s="439" t="str">
        <f t="shared" si="7"/>
        <v>0_0</v>
      </c>
    </row>
    <row r="476" spans="1:1" x14ac:dyDescent="0.25">
      <c r="A476" s="439" t="str">
        <f t="shared" si="7"/>
        <v>0_0</v>
      </c>
    </row>
    <row r="477" spans="1:1" x14ac:dyDescent="0.25">
      <c r="A477" s="439" t="str">
        <f t="shared" si="7"/>
        <v>0_0</v>
      </c>
    </row>
    <row r="478" spans="1:1" x14ac:dyDescent="0.25">
      <c r="A478" s="439" t="str">
        <f t="shared" si="7"/>
        <v>0_0</v>
      </c>
    </row>
    <row r="479" spans="1:1" x14ac:dyDescent="0.25">
      <c r="A479" s="439" t="str">
        <f t="shared" si="7"/>
        <v>0_0</v>
      </c>
    </row>
    <row r="480" spans="1:1" x14ac:dyDescent="0.25">
      <c r="A480" s="439" t="str">
        <f t="shared" si="7"/>
        <v>0_0</v>
      </c>
    </row>
    <row r="481" spans="1:1" x14ac:dyDescent="0.25">
      <c r="A481" s="439" t="str">
        <f t="shared" si="7"/>
        <v>0_0</v>
      </c>
    </row>
    <row r="482" spans="1:1" x14ac:dyDescent="0.25">
      <c r="A482" s="439" t="str">
        <f t="shared" si="7"/>
        <v>0_0</v>
      </c>
    </row>
    <row r="483" spans="1:1" x14ac:dyDescent="0.25">
      <c r="A483" s="439" t="str">
        <f t="shared" si="7"/>
        <v>0_0</v>
      </c>
    </row>
    <row r="484" spans="1:1" x14ac:dyDescent="0.25">
      <c r="A484" s="439" t="str">
        <f t="shared" si="7"/>
        <v>0_0</v>
      </c>
    </row>
    <row r="485" spans="1:1" x14ac:dyDescent="0.25">
      <c r="A485" s="439" t="str">
        <f t="shared" si="7"/>
        <v>0_0</v>
      </c>
    </row>
    <row r="486" spans="1:1" x14ac:dyDescent="0.25">
      <c r="A486" s="439" t="str">
        <f t="shared" si="7"/>
        <v>0_0</v>
      </c>
    </row>
    <row r="487" spans="1:1" x14ac:dyDescent="0.25">
      <c r="A487" s="439" t="str">
        <f t="shared" si="7"/>
        <v>0_0</v>
      </c>
    </row>
    <row r="488" spans="1:1" x14ac:dyDescent="0.25">
      <c r="A488" s="439" t="str">
        <f t="shared" si="7"/>
        <v>0_0</v>
      </c>
    </row>
    <row r="489" spans="1:1" x14ac:dyDescent="0.25">
      <c r="A489" s="439" t="str">
        <f t="shared" si="7"/>
        <v>0_0</v>
      </c>
    </row>
    <row r="490" spans="1:1" x14ac:dyDescent="0.25">
      <c r="A490" s="439" t="str">
        <f t="shared" si="7"/>
        <v>0_0</v>
      </c>
    </row>
    <row r="491" spans="1:1" x14ac:dyDescent="0.25">
      <c r="A491" s="439" t="str">
        <f t="shared" si="7"/>
        <v>0_0</v>
      </c>
    </row>
    <row r="492" spans="1:1" x14ac:dyDescent="0.25">
      <c r="A492" s="439" t="str">
        <f t="shared" si="7"/>
        <v>0_0</v>
      </c>
    </row>
    <row r="493" spans="1:1" x14ac:dyDescent="0.25">
      <c r="A493" s="439" t="str">
        <f t="shared" si="7"/>
        <v>0_0</v>
      </c>
    </row>
    <row r="494" spans="1:1" x14ac:dyDescent="0.25">
      <c r="A494" s="439" t="str">
        <f t="shared" si="7"/>
        <v>0_0</v>
      </c>
    </row>
    <row r="495" spans="1:1" x14ac:dyDescent="0.25">
      <c r="A495" s="439" t="str">
        <f t="shared" si="7"/>
        <v>0_0</v>
      </c>
    </row>
    <row r="496" spans="1:1" x14ac:dyDescent="0.25">
      <c r="A496" s="439" t="str">
        <f t="shared" si="7"/>
        <v>0_0</v>
      </c>
    </row>
    <row r="497" spans="1:1" x14ac:dyDescent="0.25">
      <c r="A497" s="439" t="str">
        <f t="shared" si="7"/>
        <v>0_0</v>
      </c>
    </row>
    <row r="498" spans="1:1" x14ac:dyDescent="0.25">
      <c r="A498" s="439" t="str">
        <f t="shared" si="7"/>
        <v>0_0</v>
      </c>
    </row>
    <row r="499" spans="1:1" x14ac:dyDescent="0.25">
      <c r="A499" s="439" t="str">
        <f t="shared" si="7"/>
        <v>0_0</v>
      </c>
    </row>
    <row r="500" spans="1:1" x14ac:dyDescent="0.25">
      <c r="A500" s="439" t="str">
        <f t="shared" si="7"/>
        <v>0_0</v>
      </c>
    </row>
    <row r="501" spans="1:1" x14ac:dyDescent="0.25">
      <c r="A501" s="439" t="str">
        <f t="shared" si="7"/>
        <v>0_0</v>
      </c>
    </row>
    <row r="502" spans="1:1" x14ac:dyDescent="0.25">
      <c r="A502" s="439" t="str">
        <f t="shared" si="7"/>
        <v>0_0</v>
      </c>
    </row>
    <row r="503" spans="1:1" x14ac:dyDescent="0.25">
      <c r="A503" s="439" t="str">
        <f t="shared" si="7"/>
        <v>0_0</v>
      </c>
    </row>
    <row r="504" spans="1:1" x14ac:dyDescent="0.25">
      <c r="A504" s="439" t="str">
        <f t="shared" si="7"/>
        <v>0_0</v>
      </c>
    </row>
    <row r="505" spans="1:1" x14ac:dyDescent="0.25">
      <c r="A505" s="439" t="str">
        <f t="shared" si="7"/>
        <v>0_0</v>
      </c>
    </row>
    <row r="506" spans="1:1" x14ac:dyDescent="0.25">
      <c r="A506" s="439" t="str">
        <f t="shared" si="7"/>
        <v>0_0</v>
      </c>
    </row>
    <row r="507" spans="1:1" x14ac:dyDescent="0.25">
      <c r="A507" s="439" t="str">
        <f t="shared" si="7"/>
        <v>0_0</v>
      </c>
    </row>
    <row r="508" spans="1:1" x14ac:dyDescent="0.25">
      <c r="A508" s="439" t="str">
        <f t="shared" si="7"/>
        <v>0_0</v>
      </c>
    </row>
    <row r="509" spans="1:1" x14ac:dyDescent="0.25">
      <c r="A509" s="439" t="str">
        <f t="shared" si="7"/>
        <v>0_0</v>
      </c>
    </row>
    <row r="510" spans="1:1" x14ac:dyDescent="0.25">
      <c r="A510" s="439" t="str">
        <f t="shared" si="7"/>
        <v>0_0</v>
      </c>
    </row>
    <row r="511" spans="1:1" x14ac:dyDescent="0.25">
      <c r="A511" s="439" t="str">
        <f t="shared" si="7"/>
        <v>0_0</v>
      </c>
    </row>
    <row r="512" spans="1:1" x14ac:dyDescent="0.25">
      <c r="A512" s="439" t="str">
        <f t="shared" si="7"/>
        <v>0_0</v>
      </c>
    </row>
    <row r="513" spans="1:1" x14ac:dyDescent="0.25">
      <c r="A513" s="439" t="str">
        <f t="shared" si="7"/>
        <v>0_0</v>
      </c>
    </row>
    <row r="514" spans="1:1" x14ac:dyDescent="0.25">
      <c r="A514" s="439" t="str">
        <f t="shared" si="7"/>
        <v>0_0</v>
      </c>
    </row>
    <row r="515" spans="1:1" x14ac:dyDescent="0.25">
      <c r="A515" s="439" t="str">
        <f t="shared" si="7"/>
        <v>0_0</v>
      </c>
    </row>
    <row r="516" spans="1:1" x14ac:dyDescent="0.25">
      <c r="A516" s="439" t="str">
        <f t="shared" ref="A516:A579" si="8" xml:space="preserve"> IFERROR(+B516*1,B516)&amp;"_"&amp;IFERROR(+D516*1,D516)</f>
        <v>0_0</v>
      </c>
    </row>
    <row r="517" spans="1:1" x14ac:dyDescent="0.25">
      <c r="A517" s="439" t="str">
        <f t="shared" si="8"/>
        <v>0_0</v>
      </c>
    </row>
    <row r="518" spans="1:1" x14ac:dyDescent="0.25">
      <c r="A518" s="439" t="str">
        <f t="shared" si="8"/>
        <v>0_0</v>
      </c>
    </row>
    <row r="519" spans="1:1" x14ac:dyDescent="0.25">
      <c r="A519" s="439" t="str">
        <f t="shared" si="8"/>
        <v>0_0</v>
      </c>
    </row>
    <row r="520" spans="1:1" x14ac:dyDescent="0.25">
      <c r="A520" s="439" t="str">
        <f t="shared" si="8"/>
        <v>0_0</v>
      </c>
    </row>
    <row r="521" spans="1:1" x14ac:dyDescent="0.25">
      <c r="A521" s="439" t="str">
        <f t="shared" si="8"/>
        <v>0_0</v>
      </c>
    </row>
    <row r="522" spans="1:1" x14ac:dyDescent="0.25">
      <c r="A522" s="439" t="str">
        <f t="shared" si="8"/>
        <v>0_0</v>
      </c>
    </row>
    <row r="523" spans="1:1" x14ac:dyDescent="0.25">
      <c r="A523" s="439" t="str">
        <f t="shared" si="8"/>
        <v>0_0</v>
      </c>
    </row>
    <row r="524" spans="1:1" x14ac:dyDescent="0.25">
      <c r="A524" s="439" t="str">
        <f t="shared" si="8"/>
        <v>0_0</v>
      </c>
    </row>
    <row r="525" spans="1:1" x14ac:dyDescent="0.25">
      <c r="A525" s="439" t="str">
        <f t="shared" si="8"/>
        <v>0_0</v>
      </c>
    </row>
    <row r="526" spans="1:1" x14ac:dyDescent="0.25">
      <c r="A526" s="439" t="str">
        <f t="shared" si="8"/>
        <v>0_0</v>
      </c>
    </row>
    <row r="527" spans="1:1" x14ac:dyDescent="0.25">
      <c r="A527" s="439" t="str">
        <f t="shared" si="8"/>
        <v>0_0</v>
      </c>
    </row>
    <row r="528" spans="1:1" x14ac:dyDescent="0.25">
      <c r="A528" s="439" t="str">
        <f t="shared" si="8"/>
        <v>0_0</v>
      </c>
    </row>
    <row r="529" spans="1:1" x14ac:dyDescent="0.25">
      <c r="A529" s="439" t="str">
        <f t="shared" si="8"/>
        <v>0_0</v>
      </c>
    </row>
    <row r="530" spans="1:1" x14ac:dyDescent="0.25">
      <c r="A530" s="439" t="str">
        <f t="shared" si="8"/>
        <v>0_0</v>
      </c>
    </row>
    <row r="531" spans="1:1" x14ac:dyDescent="0.25">
      <c r="A531" s="439" t="str">
        <f t="shared" si="8"/>
        <v>0_0</v>
      </c>
    </row>
    <row r="532" spans="1:1" x14ac:dyDescent="0.25">
      <c r="A532" s="439" t="str">
        <f t="shared" si="8"/>
        <v>0_0</v>
      </c>
    </row>
    <row r="533" spans="1:1" x14ac:dyDescent="0.25">
      <c r="A533" s="439" t="str">
        <f t="shared" si="8"/>
        <v>0_0</v>
      </c>
    </row>
    <row r="534" spans="1:1" x14ac:dyDescent="0.25">
      <c r="A534" s="439" t="str">
        <f t="shared" si="8"/>
        <v>0_0</v>
      </c>
    </row>
    <row r="535" spans="1:1" x14ac:dyDescent="0.25">
      <c r="A535" s="439" t="str">
        <f t="shared" si="8"/>
        <v>0_0</v>
      </c>
    </row>
    <row r="536" spans="1:1" x14ac:dyDescent="0.25">
      <c r="A536" s="439" t="str">
        <f t="shared" si="8"/>
        <v>0_0</v>
      </c>
    </row>
    <row r="537" spans="1:1" x14ac:dyDescent="0.25">
      <c r="A537" s="439" t="str">
        <f t="shared" si="8"/>
        <v>0_0</v>
      </c>
    </row>
    <row r="538" spans="1:1" x14ac:dyDescent="0.25">
      <c r="A538" s="439" t="str">
        <f t="shared" si="8"/>
        <v>0_0</v>
      </c>
    </row>
    <row r="539" spans="1:1" x14ac:dyDescent="0.25">
      <c r="A539" s="439" t="str">
        <f t="shared" si="8"/>
        <v>0_0</v>
      </c>
    </row>
    <row r="540" spans="1:1" x14ac:dyDescent="0.25">
      <c r="A540" s="439" t="str">
        <f t="shared" si="8"/>
        <v>0_0</v>
      </c>
    </row>
    <row r="541" spans="1:1" x14ac:dyDescent="0.25">
      <c r="A541" s="439" t="str">
        <f t="shared" si="8"/>
        <v>0_0</v>
      </c>
    </row>
    <row r="542" spans="1:1" x14ac:dyDescent="0.25">
      <c r="A542" s="439" t="str">
        <f t="shared" si="8"/>
        <v>0_0</v>
      </c>
    </row>
    <row r="543" spans="1:1" x14ac:dyDescent="0.25">
      <c r="A543" s="439" t="str">
        <f t="shared" si="8"/>
        <v>0_0</v>
      </c>
    </row>
    <row r="544" spans="1:1" x14ac:dyDescent="0.25">
      <c r="A544" s="439" t="str">
        <f t="shared" si="8"/>
        <v>0_0</v>
      </c>
    </row>
    <row r="545" spans="1:1" x14ac:dyDescent="0.25">
      <c r="A545" s="439" t="str">
        <f t="shared" si="8"/>
        <v>0_0</v>
      </c>
    </row>
    <row r="546" spans="1:1" x14ac:dyDescent="0.25">
      <c r="A546" s="439" t="str">
        <f t="shared" si="8"/>
        <v>0_0</v>
      </c>
    </row>
    <row r="547" spans="1:1" x14ac:dyDescent="0.25">
      <c r="A547" s="439" t="str">
        <f t="shared" si="8"/>
        <v>0_0</v>
      </c>
    </row>
    <row r="548" spans="1:1" x14ac:dyDescent="0.25">
      <c r="A548" s="439" t="str">
        <f t="shared" si="8"/>
        <v>0_0</v>
      </c>
    </row>
    <row r="549" spans="1:1" x14ac:dyDescent="0.25">
      <c r="A549" s="439" t="str">
        <f t="shared" si="8"/>
        <v>0_0</v>
      </c>
    </row>
    <row r="550" spans="1:1" x14ac:dyDescent="0.25">
      <c r="A550" s="439" t="str">
        <f t="shared" si="8"/>
        <v>0_0</v>
      </c>
    </row>
    <row r="551" spans="1:1" x14ac:dyDescent="0.25">
      <c r="A551" s="439" t="str">
        <f t="shared" si="8"/>
        <v>0_0</v>
      </c>
    </row>
    <row r="552" spans="1:1" x14ac:dyDescent="0.25">
      <c r="A552" s="439" t="str">
        <f t="shared" si="8"/>
        <v>0_0</v>
      </c>
    </row>
    <row r="553" spans="1:1" x14ac:dyDescent="0.25">
      <c r="A553" s="439" t="str">
        <f t="shared" si="8"/>
        <v>0_0</v>
      </c>
    </row>
    <row r="554" spans="1:1" x14ac:dyDescent="0.25">
      <c r="A554" s="439" t="str">
        <f t="shared" si="8"/>
        <v>0_0</v>
      </c>
    </row>
    <row r="555" spans="1:1" x14ac:dyDescent="0.25">
      <c r="A555" s="439" t="str">
        <f t="shared" si="8"/>
        <v>0_0</v>
      </c>
    </row>
    <row r="556" spans="1:1" x14ac:dyDescent="0.25">
      <c r="A556" s="439" t="str">
        <f t="shared" si="8"/>
        <v>0_0</v>
      </c>
    </row>
    <row r="557" spans="1:1" x14ac:dyDescent="0.25">
      <c r="A557" s="439" t="str">
        <f t="shared" si="8"/>
        <v>0_0</v>
      </c>
    </row>
    <row r="558" spans="1:1" x14ac:dyDescent="0.25">
      <c r="A558" s="439" t="str">
        <f t="shared" si="8"/>
        <v>0_0</v>
      </c>
    </row>
    <row r="559" spans="1:1" x14ac:dyDescent="0.25">
      <c r="A559" s="439" t="str">
        <f t="shared" si="8"/>
        <v>0_0</v>
      </c>
    </row>
    <row r="560" spans="1:1" x14ac:dyDescent="0.25">
      <c r="A560" s="439" t="str">
        <f t="shared" si="8"/>
        <v>0_0</v>
      </c>
    </row>
    <row r="561" spans="1:1" x14ac:dyDescent="0.25">
      <c r="A561" s="439" t="str">
        <f t="shared" si="8"/>
        <v>0_0</v>
      </c>
    </row>
    <row r="562" spans="1:1" x14ac:dyDescent="0.25">
      <c r="A562" s="439" t="str">
        <f t="shared" si="8"/>
        <v>0_0</v>
      </c>
    </row>
    <row r="563" spans="1:1" x14ac:dyDescent="0.25">
      <c r="A563" s="439" t="str">
        <f t="shared" si="8"/>
        <v>0_0</v>
      </c>
    </row>
    <row r="564" spans="1:1" x14ac:dyDescent="0.25">
      <c r="A564" s="439" t="str">
        <f t="shared" si="8"/>
        <v>0_0</v>
      </c>
    </row>
    <row r="565" spans="1:1" x14ac:dyDescent="0.25">
      <c r="A565" s="439" t="str">
        <f t="shared" si="8"/>
        <v>0_0</v>
      </c>
    </row>
    <row r="566" spans="1:1" x14ac:dyDescent="0.25">
      <c r="A566" s="439" t="str">
        <f t="shared" si="8"/>
        <v>0_0</v>
      </c>
    </row>
    <row r="567" spans="1:1" x14ac:dyDescent="0.25">
      <c r="A567" s="439" t="str">
        <f t="shared" si="8"/>
        <v>0_0</v>
      </c>
    </row>
    <row r="568" spans="1:1" x14ac:dyDescent="0.25">
      <c r="A568" s="439" t="str">
        <f t="shared" si="8"/>
        <v>0_0</v>
      </c>
    </row>
    <row r="569" spans="1:1" x14ac:dyDescent="0.25">
      <c r="A569" s="439" t="str">
        <f t="shared" si="8"/>
        <v>0_0</v>
      </c>
    </row>
    <row r="570" spans="1:1" x14ac:dyDescent="0.25">
      <c r="A570" s="439" t="str">
        <f t="shared" si="8"/>
        <v>0_0</v>
      </c>
    </row>
    <row r="571" spans="1:1" x14ac:dyDescent="0.25">
      <c r="A571" s="439" t="str">
        <f t="shared" si="8"/>
        <v>0_0</v>
      </c>
    </row>
    <row r="572" spans="1:1" x14ac:dyDescent="0.25">
      <c r="A572" s="439" t="str">
        <f t="shared" si="8"/>
        <v>0_0</v>
      </c>
    </row>
    <row r="573" spans="1:1" x14ac:dyDescent="0.25">
      <c r="A573" s="439" t="str">
        <f t="shared" si="8"/>
        <v>0_0</v>
      </c>
    </row>
    <row r="574" spans="1:1" x14ac:dyDescent="0.25">
      <c r="A574" s="439" t="str">
        <f t="shared" si="8"/>
        <v>0_0</v>
      </c>
    </row>
    <row r="575" spans="1:1" x14ac:dyDescent="0.25">
      <c r="A575" s="439" t="str">
        <f t="shared" si="8"/>
        <v>0_0</v>
      </c>
    </row>
    <row r="576" spans="1:1" x14ac:dyDescent="0.25">
      <c r="A576" s="439" t="str">
        <f t="shared" si="8"/>
        <v>0_0</v>
      </c>
    </row>
    <row r="577" spans="1:1" x14ac:dyDescent="0.25">
      <c r="A577" s="439" t="str">
        <f t="shared" si="8"/>
        <v>0_0</v>
      </c>
    </row>
    <row r="578" spans="1:1" x14ac:dyDescent="0.25">
      <c r="A578" s="439" t="str">
        <f t="shared" si="8"/>
        <v>0_0</v>
      </c>
    </row>
    <row r="579" spans="1:1" x14ac:dyDescent="0.25">
      <c r="A579" s="439" t="str">
        <f t="shared" si="8"/>
        <v>0_0</v>
      </c>
    </row>
    <row r="580" spans="1:1" x14ac:dyDescent="0.25">
      <c r="A580" s="439" t="str">
        <f t="shared" ref="A580:A643" si="9" xml:space="preserve"> IFERROR(+B580*1,B580)&amp;"_"&amp;IFERROR(+D580*1,D580)</f>
        <v>0_0</v>
      </c>
    </row>
    <row r="581" spans="1:1" x14ac:dyDescent="0.25">
      <c r="A581" s="439" t="str">
        <f t="shared" si="9"/>
        <v>0_0</v>
      </c>
    </row>
    <row r="582" spans="1:1" x14ac:dyDescent="0.25">
      <c r="A582" s="439" t="str">
        <f t="shared" si="9"/>
        <v>0_0</v>
      </c>
    </row>
    <row r="583" spans="1:1" x14ac:dyDescent="0.25">
      <c r="A583" s="439" t="str">
        <f t="shared" si="9"/>
        <v>0_0</v>
      </c>
    </row>
    <row r="584" spans="1:1" x14ac:dyDescent="0.25">
      <c r="A584" s="439" t="str">
        <f t="shared" si="9"/>
        <v>0_0</v>
      </c>
    </row>
    <row r="585" spans="1:1" x14ac:dyDescent="0.25">
      <c r="A585" s="439" t="str">
        <f t="shared" si="9"/>
        <v>0_0</v>
      </c>
    </row>
    <row r="586" spans="1:1" x14ac:dyDescent="0.25">
      <c r="A586" s="439" t="str">
        <f t="shared" si="9"/>
        <v>0_0</v>
      </c>
    </row>
    <row r="587" spans="1:1" x14ac:dyDescent="0.25">
      <c r="A587" s="439" t="str">
        <f t="shared" si="9"/>
        <v>0_0</v>
      </c>
    </row>
    <row r="588" spans="1:1" x14ac:dyDescent="0.25">
      <c r="A588" s="439" t="str">
        <f t="shared" si="9"/>
        <v>0_0</v>
      </c>
    </row>
    <row r="589" spans="1:1" x14ac:dyDescent="0.25">
      <c r="A589" s="439" t="str">
        <f t="shared" si="9"/>
        <v>0_0</v>
      </c>
    </row>
    <row r="590" spans="1:1" x14ac:dyDescent="0.25">
      <c r="A590" s="439" t="str">
        <f t="shared" si="9"/>
        <v>0_0</v>
      </c>
    </row>
    <row r="591" spans="1:1" x14ac:dyDescent="0.25">
      <c r="A591" s="439" t="str">
        <f t="shared" si="9"/>
        <v>0_0</v>
      </c>
    </row>
    <row r="592" spans="1:1" x14ac:dyDescent="0.25">
      <c r="A592" s="439" t="str">
        <f t="shared" si="9"/>
        <v>0_0</v>
      </c>
    </row>
    <row r="593" spans="1:1" x14ac:dyDescent="0.25">
      <c r="A593" s="439" t="str">
        <f t="shared" si="9"/>
        <v>0_0</v>
      </c>
    </row>
    <row r="594" spans="1:1" x14ac:dyDescent="0.25">
      <c r="A594" s="439" t="str">
        <f t="shared" si="9"/>
        <v>0_0</v>
      </c>
    </row>
    <row r="595" spans="1:1" x14ac:dyDescent="0.25">
      <c r="A595" s="439" t="str">
        <f t="shared" si="9"/>
        <v>0_0</v>
      </c>
    </row>
    <row r="596" spans="1:1" x14ac:dyDescent="0.25">
      <c r="A596" s="439" t="str">
        <f t="shared" si="9"/>
        <v>0_0</v>
      </c>
    </row>
    <row r="597" spans="1:1" x14ac:dyDescent="0.25">
      <c r="A597" s="439" t="str">
        <f t="shared" si="9"/>
        <v>0_0</v>
      </c>
    </row>
    <row r="598" spans="1:1" x14ac:dyDescent="0.25">
      <c r="A598" s="439" t="str">
        <f t="shared" si="9"/>
        <v>0_0</v>
      </c>
    </row>
    <row r="599" spans="1:1" x14ac:dyDescent="0.25">
      <c r="A599" s="439" t="str">
        <f t="shared" si="9"/>
        <v>0_0</v>
      </c>
    </row>
    <row r="600" spans="1:1" x14ac:dyDescent="0.25">
      <c r="A600" s="439" t="str">
        <f t="shared" si="9"/>
        <v>0_0</v>
      </c>
    </row>
    <row r="601" spans="1:1" x14ac:dyDescent="0.25">
      <c r="A601" s="439" t="str">
        <f t="shared" si="9"/>
        <v>0_0</v>
      </c>
    </row>
    <row r="602" spans="1:1" x14ac:dyDescent="0.25">
      <c r="A602" s="439" t="str">
        <f t="shared" si="9"/>
        <v>0_0</v>
      </c>
    </row>
    <row r="603" spans="1:1" x14ac:dyDescent="0.25">
      <c r="A603" s="439" t="str">
        <f t="shared" si="9"/>
        <v>0_0</v>
      </c>
    </row>
    <row r="604" spans="1:1" x14ac:dyDescent="0.25">
      <c r="A604" s="439" t="str">
        <f t="shared" si="9"/>
        <v>0_0</v>
      </c>
    </row>
    <row r="605" spans="1:1" x14ac:dyDescent="0.25">
      <c r="A605" s="439" t="str">
        <f t="shared" si="9"/>
        <v>0_0</v>
      </c>
    </row>
    <row r="606" spans="1:1" x14ac:dyDescent="0.25">
      <c r="A606" s="439" t="str">
        <f t="shared" si="9"/>
        <v>0_0</v>
      </c>
    </row>
    <row r="607" spans="1:1" x14ac:dyDescent="0.25">
      <c r="A607" s="439" t="str">
        <f t="shared" si="9"/>
        <v>0_0</v>
      </c>
    </row>
    <row r="608" spans="1:1" x14ac:dyDescent="0.25">
      <c r="A608" s="439" t="str">
        <f t="shared" si="9"/>
        <v>0_0</v>
      </c>
    </row>
    <row r="609" spans="1:1" x14ac:dyDescent="0.25">
      <c r="A609" s="439" t="str">
        <f t="shared" si="9"/>
        <v>0_0</v>
      </c>
    </row>
    <row r="610" spans="1:1" x14ac:dyDescent="0.25">
      <c r="A610" s="439" t="str">
        <f t="shared" si="9"/>
        <v>0_0</v>
      </c>
    </row>
    <row r="611" spans="1:1" x14ac:dyDescent="0.25">
      <c r="A611" s="439" t="str">
        <f t="shared" si="9"/>
        <v>0_0</v>
      </c>
    </row>
    <row r="612" spans="1:1" x14ac:dyDescent="0.25">
      <c r="A612" s="439" t="str">
        <f t="shared" si="9"/>
        <v>0_0</v>
      </c>
    </row>
    <row r="613" spans="1:1" x14ac:dyDescent="0.25">
      <c r="A613" s="439" t="str">
        <f t="shared" si="9"/>
        <v>0_0</v>
      </c>
    </row>
    <row r="614" spans="1:1" x14ac:dyDescent="0.25">
      <c r="A614" s="439" t="str">
        <f t="shared" si="9"/>
        <v>0_0</v>
      </c>
    </row>
    <row r="615" spans="1:1" x14ac:dyDescent="0.25">
      <c r="A615" s="439" t="str">
        <f t="shared" si="9"/>
        <v>0_0</v>
      </c>
    </row>
    <row r="616" spans="1:1" x14ac:dyDescent="0.25">
      <c r="A616" s="439" t="str">
        <f t="shared" si="9"/>
        <v>0_0</v>
      </c>
    </row>
    <row r="617" spans="1:1" x14ac:dyDescent="0.25">
      <c r="A617" s="439" t="str">
        <f t="shared" si="9"/>
        <v>0_0</v>
      </c>
    </row>
    <row r="618" spans="1:1" x14ac:dyDescent="0.25">
      <c r="A618" s="439" t="str">
        <f t="shared" si="9"/>
        <v>0_0</v>
      </c>
    </row>
    <row r="619" spans="1:1" x14ac:dyDescent="0.25">
      <c r="A619" s="439" t="str">
        <f t="shared" si="9"/>
        <v>0_0</v>
      </c>
    </row>
    <row r="620" spans="1:1" x14ac:dyDescent="0.25">
      <c r="A620" s="439" t="str">
        <f t="shared" si="9"/>
        <v>0_0</v>
      </c>
    </row>
    <row r="621" spans="1:1" x14ac:dyDescent="0.25">
      <c r="A621" s="439" t="str">
        <f t="shared" si="9"/>
        <v>0_0</v>
      </c>
    </row>
    <row r="622" spans="1:1" x14ac:dyDescent="0.25">
      <c r="A622" s="439" t="str">
        <f t="shared" si="9"/>
        <v>0_0</v>
      </c>
    </row>
    <row r="623" spans="1:1" x14ac:dyDescent="0.25">
      <c r="A623" s="439" t="str">
        <f t="shared" si="9"/>
        <v>0_0</v>
      </c>
    </row>
    <row r="624" spans="1:1" x14ac:dyDescent="0.25">
      <c r="A624" s="439" t="str">
        <f t="shared" si="9"/>
        <v>0_0</v>
      </c>
    </row>
    <row r="625" spans="1:1" x14ac:dyDescent="0.25">
      <c r="A625" s="439" t="str">
        <f t="shared" si="9"/>
        <v>0_0</v>
      </c>
    </row>
    <row r="626" spans="1:1" x14ac:dyDescent="0.25">
      <c r="A626" s="439" t="str">
        <f t="shared" si="9"/>
        <v>0_0</v>
      </c>
    </row>
    <row r="627" spans="1:1" x14ac:dyDescent="0.25">
      <c r="A627" s="439" t="str">
        <f t="shared" si="9"/>
        <v>0_0</v>
      </c>
    </row>
    <row r="628" spans="1:1" x14ac:dyDescent="0.25">
      <c r="A628" s="439" t="str">
        <f t="shared" si="9"/>
        <v>0_0</v>
      </c>
    </row>
    <row r="629" spans="1:1" x14ac:dyDescent="0.25">
      <c r="A629" s="439" t="str">
        <f t="shared" si="9"/>
        <v>0_0</v>
      </c>
    </row>
    <row r="630" spans="1:1" x14ac:dyDescent="0.25">
      <c r="A630" s="439" t="str">
        <f t="shared" si="9"/>
        <v>0_0</v>
      </c>
    </row>
    <row r="631" spans="1:1" x14ac:dyDescent="0.25">
      <c r="A631" s="439" t="str">
        <f t="shared" si="9"/>
        <v>0_0</v>
      </c>
    </row>
    <row r="632" spans="1:1" x14ac:dyDescent="0.25">
      <c r="A632" s="439" t="str">
        <f t="shared" si="9"/>
        <v>0_0</v>
      </c>
    </row>
    <row r="633" spans="1:1" x14ac:dyDescent="0.25">
      <c r="A633" s="439" t="str">
        <f t="shared" si="9"/>
        <v>0_0</v>
      </c>
    </row>
    <row r="634" spans="1:1" x14ac:dyDescent="0.25">
      <c r="A634" s="439" t="str">
        <f t="shared" si="9"/>
        <v>0_0</v>
      </c>
    </row>
    <row r="635" spans="1:1" x14ac:dyDescent="0.25">
      <c r="A635" s="439" t="str">
        <f t="shared" si="9"/>
        <v>0_0</v>
      </c>
    </row>
    <row r="636" spans="1:1" x14ac:dyDescent="0.25">
      <c r="A636" s="439" t="str">
        <f t="shared" si="9"/>
        <v>0_0</v>
      </c>
    </row>
    <row r="637" spans="1:1" x14ac:dyDescent="0.25">
      <c r="A637" s="439" t="str">
        <f t="shared" si="9"/>
        <v>0_0</v>
      </c>
    </row>
    <row r="638" spans="1:1" x14ac:dyDescent="0.25">
      <c r="A638" s="439" t="str">
        <f t="shared" si="9"/>
        <v>0_0</v>
      </c>
    </row>
    <row r="639" spans="1:1" x14ac:dyDescent="0.25">
      <c r="A639" s="439" t="str">
        <f t="shared" si="9"/>
        <v>0_0</v>
      </c>
    </row>
    <row r="640" spans="1:1" x14ac:dyDescent="0.25">
      <c r="A640" s="439" t="str">
        <f t="shared" si="9"/>
        <v>0_0</v>
      </c>
    </row>
    <row r="641" spans="1:1" x14ac:dyDescent="0.25">
      <c r="A641" s="439" t="str">
        <f t="shared" si="9"/>
        <v>0_0</v>
      </c>
    </row>
    <row r="642" spans="1:1" x14ac:dyDescent="0.25">
      <c r="A642" s="439" t="str">
        <f t="shared" si="9"/>
        <v>0_0</v>
      </c>
    </row>
    <row r="643" spans="1:1" x14ac:dyDescent="0.25">
      <c r="A643" s="439" t="str">
        <f t="shared" si="9"/>
        <v>0_0</v>
      </c>
    </row>
    <row r="644" spans="1:1" x14ac:dyDescent="0.25">
      <c r="A644" s="439" t="str">
        <f t="shared" ref="A644:A707" si="10" xml:space="preserve"> IFERROR(+B644*1,B644)&amp;"_"&amp;IFERROR(+D644*1,D644)</f>
        <v>0_0</v>
      </c>
    </row>
    <row r="645" spans="1:1" x14ac:dyDescent="0.25">
      <c r="A645" s="439" t="str">
        <f t="shared" si="10"/>
        <v>0_0</v>
      </c>
    </row>
    <row r="646" spans="1:1" x14ac:dyDescent="0.25">
      <c r="A646" s="439" t="str">
        <f t="shared" si="10"/>
        <v>0_0</v>
      </c>
    </row>
    <row r="647" spans="1:1" x14ac:dyDescent="0.25">
      <c r="A647" s="439" t="str">
        <f t="shared" si="10"/>
        <v>0_0</v>
      </c>
    </row>
    <row r="648" spans="1:1" x14ac:dyDescent="0.25">
      <c r="A648" s="439" t="str">
        <f t="shared" si="10"/>
        <v>0_0</v>
      </c>
    </row>
    <row r="649" spans="1:1" x14ac:dyDescent="0.25">
      <c r="A649" s="439" t="str">
        <f t="shared" si="10"/>
        <v>0_0</v>
      </c>
    </row>
    <row r="650" spans="1:1" x14ac:dyDescent="0.25">
      <c r="A650" s="439" t="str">
        <f t="shared" si="10"/>
        <v>0_0</v>
      </c>
    </row>
    <row r="651" spans="1:1" x14ac:dyDescent="0.25">
      <c r="A651" s="439" t="str">
        <f t="shared" si="10"/>
        <v>0_0</v>
      </c>
    </row>
    <row r="652" spans="1:1" x14ac:dyDescent="0.25">
      <c r="A652" s="439" t="str">
        <f t="shared" si="10"/>
        <v>0_0</v>
      </c>
    </row>
    <row r="653" spans="1:1" x14ac:dyDescent="0.25">
      <c r="A653" s="439" t="str">
        <f t="shared" si="10"/>
        <v>0_0</v>
      </c>
    </row>
    <row r="654" spans="1:1" x14ac:dyDescent="0.25">
      <c r="A654" s="439" t="str">
        <f t="shared" si="10"/>
        <v>0_0</v>
      </c>
    </row>
    <row r="655" spans="1:1" x14ac:dyDescent="0.25">
      <c r="A655" s="439" t="str">
        <f t="shared" si="10"/>
        <v>0_0</v>
      </c>
    </row>
    <row r="656" spans="1:1" x14ac:dyDescent="0.25">
      <c r="A656" s="439" t="str">
        <f t="shared" si="10"/>
        <v>0_0</v>
      </c>
    </row>
    <row r="657" spans="1:1" x14ac:dyDescent="0.25">
      <c r="A657" s="439" t="str">
        <f t="shared" si="10"/>
        <v>0_0</v>
      </c>
    </row>
    <row r="658" spans="1:1" x14ac:dyDescent="0.25">
      <c r="A658" s="439" t="str">
        <f t="shared" si="10"/>
        <v>0_0</v>
      </c>
    </row>
    <row r="659" spans="1:1" x14ac:dyDescent="0.25">
      <c r="A659" s="439" t="str">
        <f t="shared" si="10"/>
        <v>0_0</v>
      </c>
    </row>
    <row r="660" spans="1:1" x14ac:dyDescent="0.25">
      <c r="A660" s="439" t="str">
        <f t="shared" si="10"/>
        <v>0_0</v>
      </c>
    </row>
    <row r="661" spans="1:1" x14ac:dyDescent="0.25">
      <c r="A661" s="439" t="str">
        <f t="shared" si="10"/>
        <v>0_0</v>
      </c>
    </row>
    <row r="662" spans="1:1" x14ac:dyDescent="0.25">
      <c r="A662" s="439" t="str">
        <f t="shared" si="10"/>
        <v>0_0</v>
      </c>
    </row>
    <row r="663" spans="1:1" x14ac:dyDescent="0.25">
      <c r="A663" s="439" t="str">
        <f t="shared" si="10"/>
        <v>0_0</v>
      </c>
    </row>
    <row r="664" spans="1:1" x14ac:dyDescent="0.25">
      <c r="A664" s="439" t="str">
        <f t="shared" si="10"/>
        <v>0_0</v>
      </c>
    </row>
    <row r="665" spans="1:1" x14ac:dyDescent="0.25">
      <c r="A665" s="439" t="str">
        <f t="shared" si="10"/>
        <v>0_0</v>
      </c>
    </row>
    <row r="666" spans="1:1" x14ac:dyDescent="0.25">
      <c r="A666" s="439" t="str">
        <f t="shared" si="10"/>
        <v>0_0</v>
      </c>
    </row>
    <row r="667" spans="1:1" x14ac:dyDescent="0.25">
      <c r="A667" s="439" t="str">
        <f t="shared" si="10"/>
        <v>0_0</v>
      </c>
    </row>
    <row r="668" spans="1:1" x14ac:dyDescent="0.25">
      <c r="A668" s="439" t="str">
        <f t="shared" si="10"/>
        <v>0_0</v>
      </c>
    </row>
    <row r="669" spans="1:1" x14ac:dyDescent="0.25">
      <c r="A669" s="439" t="str">
        <f t="shared" si="10"/>
        <v>0_0</v>
      </c>
    </row>
    <row r="670" spans="1:1" x14ac:dyDescent="0.25">
      <c r="A670" s="439" t="str">
        <f t="shared" si="10"/>
        <v>0_0</v>
      </c>
    </row>
    <row r="671" spans="1:1" x14ac:dyDescent="0.25">
      <c r="A671" s="439" t="str">
        <f t="shared" si="10"/>
        <v>0_0</v>
      </c>
    </row>
    <row r="672" spans="1:1" x14ac:dyDescent="0.25">
      <c r="A672" s="439" t="str">
        <f t="shared" si="10"/>
        <v>0_0</v>
      </c>
    </row>
    <row r="673" spans="1:1" x14ac:dyDescent="0.25">
      <c r="A673" s="439" t="str">
        <f t="shared" si="10"/>
        <v>0_0</v>
      </c>
    </row>
    <row r="674" spans="1:1" x14ac:dyDescent="0.25">
      <c r="A674" s="439" t="str">
        <f t="shared" si="10"/>
        <v>0_0</v>
      </c>
    </row>
    <row r="675" spans="1:1" x14ac:dyDescent="0.25">
      <c r="A675" s="439" t="str">
        <f t="shared" si="10"/>
        <v>0_0</v>
      </c>
    </row>
    <row r="676" spans="1:1" x14ac:dyDescent="0.25">
      <c r="A676" s="439" t="str">
        <f t="shared" si="10"/>
        <v>0_0</v>
      </c>
    </row>
    <row r="677" spans="1:1" x14ac:dyDescent="0.25">
      <c r="A677" s="439" t="str">
        <f t="shared" si="10"/>
        <v>0_0</v>
      </c>
    </row>
    <row r="678" spans="1:1" x14ac:dyDescent="0.25">
      <c r="A678" s="439" t="str">
        <f t="shared" si="10"/>
        <v>0_0</v>
      </c>
    </row>
    <row r="679" spans="1:1" x14ac:dyDescent="0.25">
      <c r="A679" s="439" t="str">
        <f t="shared" si="10"/>
        <v>0_0</v>
      </c>
    </row>
    <row r="680" spans="1:1" x14ac:dyDescent="0.25">
      <c r="A680" s="439" t="str">
        <f t="shared" si="10"/>
        <v>0_0</v>
      </c>
    </row>
    <row r="681" spans="1:1" x14ac:dyDescent="0.25">
      <c r="A681" s="439" t="str">
        <f t="shared" si="10"/>
        <v>0_0</v>
      </c>
    </row>
    <row r="682" spans="1:1" x14ac:dyDescent="0.25">
      <c r="A682" s="439" t="str">
        <f t="shared" si="10"/>
        <v>0_0</v>
      </c>
    </row>
    <row r="683" spans="1:1" x14ac:dyDescent="0.25">
      <c r="A683" s="439" t="str">
        <f t="shared" si="10"/>
        <v>0_0</v>
      </c>
    </row>
    <row r="684" spans="1:1" x14ac:dyDescent="0.25">
      <c r="A684" s="439" t="str">
        <f t="shared" si="10"/>
        <v>0_0</v>
      </c>
    </row>
    <row r="685" spans="1:1" x14ac:dyDescent="0.25">
      <c r="A685" s="439" t="str">
        <f t="shared" si="10"/>
        <v>0_0</v>
      </c>
    </row>
    <row r="686" spans="1:1" x14ac:dyDescent="0.25">
      <c r="A686" s="439" t="str">
        <f t="shared" si="10"/>
        <v>0_0</v>
      </c>
    </row>
    <row r="687" spans="1:1" x14ac:dyDescent="0.25">
      <c r="A687" s="439" t="str">
        <f t="shared" si="10"/>
        <v>0_0</v>
      </c>
    </row>
    <row r="688" spans="1:1" x14ac:dyDescent="0.25">
      <c r="A688" s="439" t="str">
        <f t="shared" si="10"/>
        <v>0_0</v>
      </c>
    </row>
    <row r="689" spans="1:1" x14ac:dyDescent="0.25">
      <c r="A689" s="439" t="str">
        <f t="shared" si="10"/>
        <v>0_0</v>
      </c>
    </row>
    <row r="690" spans="1:1" x14ac:dyDescent="0.25">
      <c r="A690" s="439" t="str">
        <f t="shared" si="10"/>
        <v>0_0</v>
      </c>
    </row>
    <row r="691" spans="1:1" x14ac:dyDescent="0.25">
      <c r="A691" s="439" t="str">
        <f t="shared" si="10"/>
        <v>0_0</v>
      </c>
    </row>
    <row r="692" spans="1:1" x14ac:dyDescent="0.25">
      <c r="A692" s="439" t="str">
        <f t="shared" si="10"/>
        <v>0_0</v>
      </c>
    </row>
    <row r="693" spans="1:1" x14ac:dyDescent="0.25">
      <c r="A693" s="439" t="str">
        <f t="shared" si="10"/>
        <v>0_0</v>
      </c>
    </row>
    <row r="694" spans="1:1" x14ac:dyDescent="0.25">
      <c r="A694" s="439" t="str">
        <f t="shared" si="10"/>
        <v>0_0</v>
      </c>
    </row>
    <row r="695" spans="1:1" x14ac:dyDescent="0.25">
      <c r="A695" s="439" t="str">
        <f t="shared" si="10"/>
        <v>0_0</v>
      </c>
    </row>
    <row r="696" spans="1:1" x14ac:dyDescent="0.25">
      <c r="A696" s="439" t="str">
        <f t="shared" si="10"/>
        <v>0_0</v>
      </c>
    </row>
    <row r="697" spans="1:1" x14ac:dyDescent="0.25">
      <c r="A697" s="439" t="str">
        <f t="shared" si="10"/>
        <v>0_0</v>
      </c>
    </row>
    <row r="698" spans="1:1" x14ac:dyDescent="0.25">
      <c r="A698" s="439" t="str">
        <f t="shared" si="10"/>
        <v>0_0</v>
      </c>
    </row>
    <row r="699" spans="1:1" x14ac:dyDescent="0.25">
      <c r="A699" s="439" t="str">
        <f t="shared" si="10"/>
        <v>0_0</v>
      </c>
    </row>
    <row r="700" spans="1:1" x14ac:dyDescent="0.25">
      <c r="A700" s="439" t="str">
        <f t="shared" si="10"/>
        <v>0_0</v>
      </c>
    </row>
    <row r="701" spans="1:1" x14ac:dyDescent="0.25">
      <c r="A701" s="439" t="str">
        <f t="shared" si="10"/>
        <v>0_0</v>
      </c>
    </row>
    <row r="702" spans="1:1" x14ac:dyDescent="0.25">
      <c r="A702" s="439" t="str">
        <f t="shared" si="10"/>
        <v>0_0</v>
      </c>
    </row>
    <row r="703" spans="1:1" x14ac:dyDescent="0.25">
      <c r="A703" s="439" t="str">
        <f t="shared" si="10"/>
        <v>0_0</v>
      </c>
    </row>
    <row r="704" spans="1:1" x14ac:dyDescent="0.25">
      <c r="A704" s="439" t="str">
        <f t="shared" si="10"/>
        <v>0_0</v>
      </c>
    </row>
    <row r="705" spans="1:1" x14ac:dyDescent="0.25">
      <c r="A705" s="439" t="str">
        <f t="shared" si="10"/>
        <v>0_0</v>
      </c>
    </row>
    <row r="706" spans="1:1" x14ac:dyDescent="0.25">
      <c r="A706" s="439" t="str">
        <f t="shared" si="10"/>
        <v>0_0</v>
      </c>
    </row>
    <row r="707" spans="1:1" x14ac:dyDescent="0.25">
      <c r="A707" s="439" t="str">
        <f t="shared" si="10"/>
        <v>0_0</v>
      </c>
    </row>
    <row r="708" spans="1:1" x14ac:dyDescent="0.25">
      <c r="A708" s="439" t="str">
        <f t="shared" ref="A708:A771" si="11" xml:space="preserve"> IFERROR(+B708*1,B708)&amp;"_"&amp;IFERROR(+D708*1,D708)</f>
        <v>0_0</v>
      </c>
    </row>
    <row r="709" spans="1:1" x14ac:dyDescent="0.25">
      <c r="A709" s="439" t="str">
        <f t="shared" si="11"/>
        <v>0_0</v>
      </c>
    </row>
    <row r="710" spans="1:1" x14ac:dyDescent="0.25">
      <c r="A710" s="439" t="str">
        <f t="shared" si="11"/>
        <v>0_0</v>
      </c>
    </row>
    <row r="711" spans="1:1" x14ac:dyDescent="0.25">
      <c r="A711" s="439" t="str">
        <f t="shared" si="11"/>
        <v>0_0</v>
      </c>
    </row>
    <row r="712" spans="1:1" x14ac:dyDescent="0.25">
      <c r="A712" s="439" t="str">
        <f t="shared" si="11"/>
        <v>0_0</v>
      </c>
    </row>
    <row r="713" spans="1:1" x14ac:dyDescent="0.25">
      <c r="A713" s="439" t="str">
        <f t="shared" si="11"/>
        <v>0_0</v>
      </c>
    </row>
    <row r="714" spans="1:1" x14ac:dyDescent="0.25">
      <c r="A714" s="439" t="str">
        <f t="shared" si="11"/>
        <v>0_0</v>
      </c>
    </row>
    <row r="715" spans="1:1" x14ac:dyDescent="0.25">
      <c r="A715" s="439" t="str">
        <f t="shared" si="11"/>
        <v>0_0</v>
      </c>
    </row>
    <row r="716" spans="1:1" x14ac:dyDescent="0.25">
      <c r="A716" s="439" t="str">
        <f t="shared" si="11"/>
        <v>0_0</v>
      </c>
    </row>
    <row r="717" spans="1:1" x14ac:dyDescent="0.25">
      <c r="A717" s="439" t="str">
        <f t="shared" si="11"/>
        <v>0_0</v>
      </c>
    </row>
    <row r="718" spans="1:1" x14ac:dyDescent="0.25">
      <c r="A718" s="439" t="str">
        <f t="shared" si="11"/>
        <v>0_0</v>
      </c>
    </row>
    <row r="719" spans="1:1" x14ac:dyDescent="0.25">
      <c r="A719" s="439" t="str">
        <f t="shared" si="11"/>
        <v>0_0</v>
      </c>
    </row>
    <row r="720" spans="1:1" x14ac:dyDescent="0.25">
      <c r="A720" s="439" t="str">
        <f t="shared" si="11"/>
        <v>0_0</v>
      </c>
    </row>
    <row r="721" spans="1:1" x14ac:dyDescent="0.25">
      <c r="A721" s="439" t="str">
        <f t="shared" si="11"/>
        <v>0_0</v>
      </c>
    </row>
    <row r="722" spans="1:1" x14ac:dyDescent="0.25">
      <c r="A722" s="439" t="str">
        <f t="shared" si="11"/>
        <v>0_0</v>
      </c>
    </row>
    <row r="723" spans="1:1" x14ac:dyDescent="0.25">
      <c r="A723" s="439" t="str">
        <f t="shared" si="11"/>
        <v>0_0</v>
      </c>
    </row>
    <row r="724" spans="1:1" x14ac:dyDescent="0.25">
      <c r="A724" s="439" t="str">
        <f t="shared" si="11"/>
        <v>0_0</v>
      </c>
    </row>
    <row r="725" spans="1:1" x14ac:dyDescent="0.25">
      <c r="A725" s="439" t="str">
        <f t="shared" si="11"/>
        <v>0_0</v>
      </c>
    </row>
    <row r="726" spans="1:1" x14ac:dyDescent="0.25">
      <c r="A726" s="439" t="str">
        <f t="shared" si="11"/>
        <v>0_0</v>
      </c>
    </row>
    <row r="727" spans="1:1" x14ac:dyDescent="0.25">
      <c r="A727" s="439" t="str">
        <f t="shared" si="11"/>
        <v>0_0</v>
      </c>
    </row>
    <row r="728" spans="1:1" x14ac:dyDescent="0.25">
      <c r="A728" s="439" t="str">
        <f t="shared" si="11"/>
        <v>0_0</v>
      </c>
    </row>
    <row r="729" spans="1:1" x14ac:dyDescent="0.25">
      <c r="A729" s="439" t="str">
        <f t="shared" si="11"/>
        <v>0_0</v>
      </c>
    </row>
    <row r="730" spans="1:1" x14ac:dyDescent="0.25">
      <c r="A730" s="439" t="str">
        <f t="shared" si="11"/>
        <v>0_0</v>
      </c>
    </row>
    <row r="731" spans="1:1" x14ac:dyDescent="0.25">
      <c r="A731" s="439" t="str">
        <f t="shared" si="11"/>
        <v>0_0</v>
      </c>
    </row>
    <row r="732" spans="1:1" x14ac:dyDescent="0.25">
      <c r="A732" s="439" t="str">
        <f t="shared" si="11"/>
        <v>0_0</v>
      </c>
    </row>
    <row r="733" spans="1:1" x14ac:dyDescent="0.25">
      <c r="A733" s="439" t="str">
        <f t="shared" si="11"/>
        <v>0_0</v>
      </c>
    </row>
    <row r="734" spans="1:1" x14ac:dyDescent="0.25">
      <c r="A734" s="439" t="str">
        <f t="shared" si="11"/>
        <v>0_0</v>
      </c>
    </row>
    <row r="735" spans="1:1" x14ac:dyDescent="0.25">
      <c r="A735" s="439" t="str">
        <f t="shared" si="11"/>
        <v>0_0</v>
      </c>
    </row>
    <row r="736" spans="1:1" x14ac:dyDescent="0.25">
      <c r="A736" s="439" t="str">
        <f t="shared" si="11"/>
        <v>0_0</v>
      </c>
    </row>
    <row r="737" spans="1:1" x14ac:dyDescent="0.25">
      <c r="A737" s="439" t="str">
        <f t="shared" si="11"/>
        <v>0_0</v>
      </c>
    </row>
    <row r="738" spans="1:1" x14ac:dyDescent="0.25">
      <c r="A738" s="439" t="str">
        <f t="shared" si="11"/>
        <v>0_0</v>
      </c>
    </row>
    <row r="739" spans="1:1" x14ac:dyDescent="0.25">
      <c r="A739" s="439" t="str">
        <f t="shared" si="11"/>
        <v>0_0</v>
      </c>
    </row>
    <row r="740" spans="1:1" x14ac:dyDescent="0.25">
      <c r="A740" s="439" t="str">
        <f t="shared" si="11"/>
        <v>0_0</v>
      </c>
    </row>
    <row r="741" spans="1:1" x14ac:dyDescent="0.25">
      <c r="A741" s="439" t="str">
        <f t="shared" si="11"/>
        <v>0_0</v>
      </c>
    </row>
    <row r="742" spans="1:1" x14ac:dyDescent="0.25">
      <c r="A742" s="439" t="str">
        <f t="shared" si="11"/>
        <v>0_0</v>
      </c>
    </row>
    <row r="743" spans="1:1" x14ac:dyDescent="0.25">
      <c r="A743" s="439" t="str">
        <f t="shared" si="11"/>
        <v>0_0</v>
      </c>
    </row>
    <row r="744" spans="1:1" x14ac:dyDescent="0.25">
      <c r="A744" s="439" t="str">
        <f t="shared" si="11"/>
        <v>0_0</v>
      </c>
    </row>
    <row r="745" spans="1:1" x14ac:dyDescent="0.25">
      <c r="A745" s="439" t="str">
        <f t="shared" si="11"/>
        <v>0_0</v>
      </c>
    </row>
    <row r="746" spans="1:1" x14ac:dyDescent="0.25">
      <c r="A746" s="439" t="str">
        <f t="shared" si="11"/>
        <v>0_0</v>
      </c>
    </row>
    <row r="747" spans="1:1" x14ac:dyDescent="0.25">
      <c r="A747" s="439" t="str">
        <f t="shared" si="11"/>
        <v>0_0</v>
      </c>
    </row>
    <row r="748" spans="1:1" x14ac:dyDescent="0.25">
      <c r="A748" s="439" t="str">
        <f t="shared" si="11"/>
        <v>0_0</v>
      </c>
    </row>
    <row r="749" spans="1:1" x14ac:dyDescent="0.25">
      <c r="A749" s="439" t="str">
        <f t="shared" si="11"/>
        <v>0_0</v>
      </c>
    </row>
    <row r="750" spans="1:1" x14ac:dyDescent="0.25">
      <c r="A750" s="439" t="str">
        <f t="shared" si="11"/>
        <v>0_0</v>
      </c>
    </row>
    <row r="751" spans="1:1" x14ac:dyDescent="0.25">
      <c r="A751" s="439" t="str">
        <f t="shared" si="11"/>
        <v>0_0</v>
      </c>
    </row>
    <row r="752" spans="1:1" x14ac:dyDescent="0.25">
      <c r="A752" s="439" t="str">
        <f t="shared" si="11"/>
        <v>0_0</v>
      </c>
    </row>
    <row r="753" spans="1:1" x14ac:dyDescent="0.25">
      <c r="A753" s="439" t="str">
        <f t="shared" si="11"/>
        <v>0_0</v>
      </c>
    </row>
    <row r="754" spans="1:1" x14ac:dyDescent="0.25">
      <c r="A754" s="439" t="str">
        <f t="shared" si="11"/>
        <v>0_0</v>
      </c>
    </row>
    <row r="755" spans="1:1" x14ac:dyDescent="0.25">
      <c r="A755" s="439" t="str">
        <f t="shared" si="11"/>
        <v>0_0</v>
      </c>
    </row>
    <row r="756" spans="1:1" x14ac:dyDescent="0.25">
      <c r="A756" s="439" t="str">
        <f t="shared" si="11"/>
        <v>0_0</v>
      </c>
    </row>
    <row r="757" spans="1:1" x14ac:dyDescent="0.25">
      <c r="A757" s="439" t="str">
        <f t="shared" si="11"/>
        <v>0_0</v>
      </c>
    </row>
    <row r="758" spans="1:1" x14ac:dyDescent="0.25">
      <c r="A758" s="439" t="str">
        <f t="shared" si="11"/>
        <v>0_0</v>
      </c>
    </row>
    <row r="759" spans="1:1" x14ac:dyDescent="0.25">
      <c r="A759" s="439" t="str">
        <f t="shared" si="11"/>
        <v>0_0</v>
      </c>
    </row>
    <row r="760" spans="1:1" x14ac:dyDescent="0.25">
      <c r="A760" s="439" t="str">
        <f t="shared" si="11"/>
        <v>0_0</v>
      </c>
    </row>
    <row r="761" spans="1:1" x14ac:dyDescent="0.25">
      <c r="A761" s="439" t="str">
        <f t="shared" si="11"/>
        <v>0_0</v>
      </c>
    </row>
    <row r="762" spans="1:1" x14ac:dyDescent="0.25">
      <c r="A762" s="439" t="str">
        <f t="shared" si="11"/>
        <v>0_0</v>
      </c>
    </row>
    <row r="763" spans="1:1" x14ac:dyDescent="0.25">
      <c r="A763" s="439" t="str">
        <f t="shared" si="11"/>
        <v>0_0</v>
      </c>
    </row>
    <row r="764" spans="1:1" x14ac:dyDescent="0.25">
      <c r="A764" s="439" t="str">
        <f t="shared" si="11"/>
        <v>0_0</v>
      </c>
    </row>
    <row r="765" spans="1:1" x14ac:dyDescent="0.25">
      <c r="A765" s="439" t="str">
        <f t="shared" si="11"/>
        <v>0_0</v>
      </c>
    </row>
    <row r="766" spans="1:1" x14ac:dyDescent="0.25">
      <c r="A766" s="439" t="str">
        <f t="shared" si="11"/>
        <v>0_0</v>
      </c>
    </row>
    <row r="767" spans="1:1" x14ac:dyDescent="0.25">
      <c r="A767" s="439" t="str">
        <f t="shared" si="11"/>
        <v>0_0</v>
      </c>
    </row>
    <row r="768" spans="1:1" x14ac:dyDescent="0.25">
      <c r="A768" s="439" t="str">
        <f t="shared" si="11"/>
        <v>0_0</v>
      </c>
    </row>
    <row r="769" spans="1:1" x14ac:dyDescent="0.25">
      <c r="A769" s="439" t="str">
        <f t="shared" si="11"/>
        <v>0_0</v>
      </c>
    </row>
    <row r="770" spans="1:1" x14ac:dyDescent="0.25">
      <c r="A770" s="439" t="str">
        <f t="shared" si="11"/>
        <v>0_0</v>
      </c>
    </row>
    <row r="771" spans="1:1" x14ac:dyDescent="0.25">
      <c r="A771" s="439" t="str">
        <f t="shared" si="11"/>
        <v>0_0</v>
      </c>
    </row>
    <row r="772" spans="1:1" x14ac:dyDescent="0.25">
      <c r="A772" s="439" t="str">
        <f t="shared" ref="A772:A835" si="12" xml:space="preserve"> IFERROR(+B772*1,B772)&amp;"_"&amp;IFERROR(+D772*1,D772)</f>
        <v>0_0</v>
      </c>
    </row>
    <row r="773" spans="1:1" x14ac:dyDescent="0.25">
      <c r="A773" s="439" t="str">
        <f t="shared" si="12"/>
        <v>0_0</v>
      </c>
    </row>
    <row r="774" spans="1:1" x14ac:dyDescent="0.25">
      <c r="A774" s="439" t="str">
        <f t="shared" si="12"/>
        <v>0_0</v>
      </c>
    </row>
    <row r="775" spans="1:1" x14ac:dyDescent="0.25">
      <c r="A775" s="439" t="str">
        <f t="shared" si="12"/>
        <v>0_0</v>
      </c>
    </row>
    <row r="776" spans="1:1" x14ac:dyDescent="0.25">
      <c r="A776" s="439" t="str">
        <f t="shared" si="12"/>
        <v>0_0</v>
      </c>
    </row>
    <row r="777" spans="1:1" x14ac:dyDescent="0.25">
      <c r="A777" s="439" t="str">
        <f t="shared" si="12"/>
        <v>0_0</v>
      </c>
    </row>
    <row r="778" spans="1:1" x14ac:dyDescent="0.25">
      <c r="A778" s="439" t="str">
        <f t="shared" si="12"/>
        <v>0_0</v>
      </c>
    </row>
    <row r="779" spans="1:1" x14ac:dyDescent="0.25">
      <c r="A779" s="439" t="str">
        <f t="shared" si="12"/>
        <v>0_0</v>
      </c>
    </row>
    <row r="780" spans="1:1" x14ac:dyDescent="0.25">
      <c r="A780" s="439" t="str">
        <f t="shared" si="12"/>
        <v>0_0</v>
      </c>
    </row>
    <row r="781" spans="1:1" x14ac:dyDescent="0.25">
      <c r="A781" s="439" t="str">
        <f t="shared" si="12"/>
        <v>0_0</v>
      </c>
    </row>
    <row r="782" spans="1:1" x14ac:dyDescent="0.25">
      <c r="A782" s="439" t="str">
        <f t="shared" si="12"/>
        <v>0_0</v>
      </c>
    </row>
    <row r="783" spans="1:1" x14ac:dyDescent="0.25">
      <c r="A783" s="439" t="str">
        <f t="shared" si="12"/>
        <v>0_0</v>
      </c>
    </row>
    <row r="784" spans="1:1" x14ac:dyDescent="0.25">
      <c r="A784" s="439" t="str">
        <f t="shared" si="12"/>
        <v>0_0</v>
      </c>
    </row>
    <row r="785" spans="1:1" x14ac:dyDescent="0.25">
      <c r="A785" s="439" t="str">
        <f t="shared" si="12"/>
        <v>0_0</v>
      </c>
    </row>
    <row r="786" spans="1:1" x14ac:dyDescent="0.25">
      <c r="A786" s="439" t="str">
        <f t="shared" si="12"/>
        <v>0_0</v>
      </c>
    </row>
    <row r="787" spans="1:1" x14ac:dyDescent="0.25">
      <c r="A787" s="439" t="str">
        <f t="shared" si="12"/>
        <v>0_0</v>
      </c>
    </row>
    <row r="788" spans="1:1" x14ac:dyDescent="0.25">
      <c r="A788" s="439" t="str">
        <f t="shared" si="12"/>
        <v>0_0</v>
      </c>
    </row>
    <row r="789" spans="1:1" x14ac:dyDescent="0.25">
      <c r="A789" s="439" t="str">
        <f t="shared" si="12"/>
        <v>0_0</v>
      </c>
    </row>
    <row r="790" spans="1:1" x14ac:dyDescent="0.25">
      <c r="A790" s="439" t="str">
        <f t="shared" si="12"/>
        <v>0_0</v>
      </c>
    </row>
    <row r="791" spans="1:1" x14ac:dyDescent="0.25">
      <c r="A791" s="439" t="str">
        <f t="shared" si="12"/>
        <v>0_0</v>
      </c>
    </row>
    <row r="792" spans="1:1" x14ac:dyDescent="0.25">
      <c r="A792" s="439" t="str">
        <f t="shared" si="12"/>
        <v>0_0</v>
      </c>
    </row>
    <row r="793" spans="1:1" x14ac:dyDescent="0.25">
      <c r="A793" s="439" t="str">
        <f t="shared" si="12"/>
        <v>0_0</v>
      </c>
    </row>
    <row r="794" spans="1:1" x14ac:dyDescent="0.25">
      <c r="A794" s="439" t="str">
        <f t="shared" si="12"/>
        <v>0_0</v>
      </c>
    </row>
    <row r="795" spans="1:1" x14ac:dyDescent="0.25">
      <c r="A795" s="439" t="str">
        <f t="shared" si="12"/>
        <v>0_0</v>
      </c>
    </row>
    <row r="796" spans="1:1" x14ac:dyDescent="0.25">
      <c r="A796" s="439" t="str">
        <f t="shared" si="12"/>
        <v>0_0</v>
      </c>
    </row>
    <row r="797" spans="1:1" x14ac:dyDescent="0.25">
      <c r="A797" s="439" t="str">
        <f t="shared" si="12"/>
        <v>0_0</v>
      </c>
    </row>
    <row r="798" spans="1:1" x14ac:dyDescent="0.25">
      <c r="A798" s="439" t="str">
        <f t="shared" si="12"/>
        <v>0_0</v>
      </c>
    </row>
    <row r="799" spans="1:1" x14ac:dyDescent="0.25">
      <c r="A799" s="439" t="str">
        <f t="shared" si="12"/>
        <v>0_0</v>
      </c>
    </row>
    <row r="800" spans="1:1" x14ac:dyDescent="0.25">
      <c r="A800" s="439" t="str">
        <f t="shared" si="12"/>
        <v>0_0</v>
      </c>
    </row>
    <row r="801" spans="1:1" x14ac:dyDescent="0.25">
      <c r="A801" s="439" t="str">
        <f t="shared" si="12"/>
        <v>0_0</v>
      </c>
    </row>
    <row r="802" spans="1:1" x14ac:dyDescent="0.25">
      <c r="A802" s="439" t="str">
        <f t="shared" si="12"/>
        <v>0_0</v>
      </c>
    </row>
    <row r="803" spans="1:1" x14ac:dyDescent="0.25">
      <c r="A803" s="439" t="str">
        <f t="shared" si="12"/>
        <v>0_0</v>
      </c>
    </row>
    <row r="804" spans="1:1" x14ac:dyDescent="0.25">
      <c r="A804" s="439" t="str">
        <f t="shared" si="12"/>
        <v>0_0</v>
      </c>
    </row>
    <row r="805" spans="1:1" x14ac:dyDescent="0.25">
      <c r="A805" s="439" t="str">
        <f t="shared" si="12"/>
        <v>0_0</v>
      </c>
    </row>
    <row r="806" spans="1:1" x14ac:dyDescent="0.25">
      <c r="A806" s="439" t="str">
        <f t="shared" si="12"/>
        <v>0_0</v>
      </c>
    </row>
    <row r="807" spans="1:1" x14ac:dyDescent="0.25">
      <c r="A807" s="439" t="str">
        <f t="shared" si="12"/>
        <v>0_0</v>
      </c>
    </row>
    <row r="808" spans="1:1" x14ac:dyDescent="0.25">
      <c r="A808" s="439" t="str">
        <f t="shared" si="12"/>
        <v>0_0</v>
      </c>
    </row>
    <row r="809" spans="1:1" x14ac:dyDescent="0.25">
      <c r="A809" s="439" t="str">
        <f t="shared" si="12"/>
        <v>0_0</v>
      </c>
    </row>
    <row r="810" spans="1:1" x14ac:dyDescent="0.25">
      <c r="A810" s="439" t="str">
        <f t="shared" si="12"/>
        <v>0_0</v>
      </c>
    </row>
    <row r="811" spans="1:1" x14ac:dyDescent="0.25">
      <c r="A811" s="439" t="str">
        <f t="shared" si="12"/>
        <v>0_0</v>
      </c>
    </row>
    <row r="812" spans="1:1" x14ac:dyDescent="0.25">
      <c r="A812" s="439" t="str">
        <f t="shared" si="12"/>
        <v>0_0</v>
      </c>
    </row>
    <row r="813" spans="1:1" x14ac:dyDescent="0.25">
      <c r="A813" s="439" t="str">
        <f t="shared" si="12"/>
        <v>0_0</v>
      </c>
    </row>
    <row r="814" spans="1:1" x14ac:dyDescent="0.25">
      <c r="A814" s="439" t="str">
        <f t="shared" si="12"/>
        <v>0_0</v>
      </c>
    </row>
    <row r="815" spans="1:1" x14ac:dyDescent="0.25">
      <c r="A815" s="439" t="str">
        <f t="shared" si="12"/>
        <v>0_0</v>
      </c>
    </row>
    <row r="816" spans="1:1" x14ac:dyDescent="0.25">
      <c r="A816" s="439" t="str">
        <f t="shared" si="12"/>
        <v>0_0</v>
      </c>
    </row>
    <row r="817" spans="1:1" x14ac:dyDescent="0.25">
      <c r="A817" s="439" t="str">
        <f t="shared" si="12"/>
        <v>0_0</v>
      </c>
    </row>
    <row r="818" spans="1:1" x14ac:dyDescent="0.25">
      <c r="A818" s="439" t="str">
        <f t="shared" si="12"/>
        <v>0_0</v>
      </c>
    </row>
    <row r="819" spans="1:1" x14ac:dyDescent="0.25">
      <c r="A819" s="439" t="str">
        <f t="shared" si="12"/>
        <v>0_0</v>
      </c>
    </row>
    <row r="820" spans="1:1" x14ac:dyDescent="0.25">
      <c r="A820" s="439" t="str">
        <f t="shared" si="12"/>
        <v>0_0</v>
      </c>
    </row>
    <row r="821" spans="1:1" x14ac:dyDescent="0.25">
      <c r="A821" s="439" t="str">
        <f t="shared" si="12"/>
        <v>0_0</v>
      </c>
    </row>
    <row r="822" spans="1:1" x14ac:dyDescent="0.25">
      <c r="A822" s="439" t="str">
        <f t="shared" si="12"/>
        <v>0_0</v>
      </c>
    </row>
    <row r="823" spans="1:1" x14ac:dyDescent="0.25">
      <c r="A823" s="439" t="str">
        <f t="shared" si="12"/>
        <v>0_0</v>
      </c>
    </row>
    <row r="824" spans="1:1" x14ac:dyDescent="0.25">
      <c r="A824" s="439" t="str">
        <f t="shared" si="12"/>
        <v>0_0</v>
      </c>
    </row>
    <row r="825" spans="1:1" x14ac:dyDescent="0.25">
      <c r="A825" s="439" t="str">
        <f t="shared" si="12"/>
        <v>0_0</v>
      </c>
    </row>
    <row r="826" spans="1:1" x14ac:dyDescent="0.25">
      <c r="A826" s="439" t="str">
        <f t="shared" si="12"/>
        <v>0_0</v>
      </c>
    </row>
    <row r="827" spans="1:1" x14ac:dyDescent="0.25">
      <c r="A827" s="439" t="str">
        <f t="shared" si="12"/>
        <v>0_0</v>
      </c>
    </row>
    <row r="828" spans="1:1" x14ac:dyDescent="0.25">
      <c r="A828" s="439" t="str">
        <f t="shared" si="12"/>
        <v>0_0</v>
      </c>
    </row>
    <row r="829" spans="1:1" x14ac:dyDescent="0.25">
      <c r="A829" s="439" t="str">
        <f t="shared" si="12"/>
        <v>0_0</v>
      </c>
    </row>
    <row r="830" spans="1:1" x14ac:dyDescent="0.25">
      <c r="A830" s="439" t="str">
        <f t="shared" si="12"/>
        <v>0_0</v>
      </c>
    </row>
    <row r="831" spans="1:1" x14ac:dyDescent="0.25">
      <c r="A831" s="439" t="str">
        <f t="shared" si="12"/>
        <v>0_0</v>
      </c>
    </row>
    <row r="832" spans="1:1" x14ac:dyDescent="0.25">
      <c r="A832" s="439" t="str">
        <f t="shared" si="12"/>
        <v>0_0</v>
      </c>
    </row>
    <row r="833" spans="1:1" x14ac:dyDescent="0.25">
      <c r="A833" s="439" t="str">
        <f t="shared" si="12"/>
        <v>0_0</v>
      </c>
    </row>
    <row r="834" spans="1:1" x14ac:dyDescent="0.25">
      <c r="A834" s="439" t="str">
        <f t="shared" si="12"/>
        <v>0_0</v>
      </c>
    </row>
    <row r="835" spans="1:1" x14ac:dyDescent="0.25">
      <c r="A835" s="439" t="str">
        <f t="shared" si="12"/>
        <v>0_0</v>
      </c>
    </row>
    <row r="836" spans="1:1" x14ac:dyDescent="0.25">
      <c r="A836" s="439" t="str">
        <f t="shared" ref="A836:A899" si="13" xml:space="preserve"> IFERROR(+B836*1,B836)&amp;"_"&amp;IFERROR(+D836*1,D836)</f>
        <v>0_0</v>
      </c>
    </row>
    <row r="837" spans="1:1" x14ac:dyDescent="0.25">
      <c r="A837" s="439" t="str">
        <f t="shared" si="13"/>
        <v>0_0</v>
      </c>
    </row>
    <row r="838" spans="1:1" x14ac:dyDescent="0.25">
      <c r="A838" s="439" t="str">
        <f t="shared" si="13"/>
        <v>0_0</v>
      </c>
    </row>
    <row r="839" spans="1:1" x14ac:dyDescent="0.25">
      <c r="A839" s="439" t="str">
        <f t="shared" si="13"/>
        <v>0_0</v>
      </c>
    </row>
    <row r="840" spans="1:1" x14ac:dyDescent="0.25">
      <c r="A840" s="439" t="str">
        <f t="shared" si="13"/>
        <v>0_0</v>
      </c>
    </row>
    <row r="841" spans="1:1" x14ac:dyDescent="0.25">
      <c r="A841" s="439" t="str">
        <f t="shared" si="13"/>
        <v>0_0</v>
      </c>
    </row>
    <row r="842" spans="1:1" x14ac:dyDescent="0.25">
      <c r="A842" s="439" t="str">
        <f t="shared" si="13"/>
        <v>0_0</v>
      </c>
    </row>
    <row r="843" spans="1:1" x14ac:dyDescent="0.25">
      <c r="A843" s="439" t="str">
        <f t="shared" si="13"/>
        <v>0_0</v>
      </c>
    </row>
    <row r="844" spans="1:1" x14ac:dyDescent="0.25">
      <c r="A844" s="439" t="str">
        <f t="shared" si="13"/>
        <v>0_0</v>
      </c>
    </row>
    <row r="845" spans="1:1" x14ac:dyDescent="0.25">
      <c r="A845" s="439" t="str">
        <f t="shared" si="13"/>
        <v>0_0</v>
      </c>
    </row>
    <row r="846" spans="1:1" x14ac:dyDescent="0.25">
      <c r="A846" s="439" t="str">
        <f t="shared" si="13"/>
        <v>0_0</v>
      </c>
    </row>
    <row r="847" spans="1:1" x14ac:dyDescent="0.25">
      <c r="A847" s="439" t="str">
        <f t="shared" si="13"/>
        <v>0_0</v>
      </c>
    </row>
    <row r="848" spans="1:1" x14ac:dyDescent="0.25">
      <c r="A848" s="439" t="str">
        <f t="shared" si="13"/>
        <v>0_0</v>
      </c>
    </row>
    <row r="849" spans="1:1" x14ac:dyDescent="0.25">
      <c r="A849" s="439" t="str">
        <f t="shared" si="13"/>
        <v>0_0</v>
      </c>
    </row>
    <row r="850" spans="1:1" x14ac:dyDescent="0.25">
      <c r="A850" s="439" t="str">
        <f t="shared" si="13"/>
        <v>0_0</v>
      </c>
    </row>
    <row r="851" spans="1:1" x14ac:dyDescent="0.25">
      <c r="A851" s="439" t="str">
        <f t="shared" si="13"/>
        <v>0_0</v>
      </c>
    </row>
    <row r="852" spans="1:1" x14ac:dyDescent="0.25">
      <c r="A852" s="439" t="str">
        <f t="shared" si="13"/>
        <v>0_0</v>
      </c>
    </row>
    <row r="853" spans="1:1" x14ac:dyDescent="0.25">
      <c r="A853" s="439" t="str">
        <f t="shared" si="13"/>
        <v>0_0</v>
      </c>
    </row>
    <row r="854" spans="1:1" x14ac:dyDescent="0.25">
      <c r="A854" s="439" t="str">
        <f t="shared" si="13"/>
        <v>0_0</v>
      </c>
    </row>
    <row r="855" spans="1:1" x14ac:dyDescent="0.25">
      <c r="A855" s="439" t="str">
        <f t="shared" si="13"/>
        <v>0_0</v>
      </c>
    </row>
    <row r="856" spans="1:1" x14ac:dyDescent="0.25">
      <c r="A856" s="439" t="str">
        <f t="shared" si="13"/>
        <v>0_0</v>
      </c>
    </row>
    <row r="857" spans="1:1" x14ac:dyDescent="0.25">
      <c r="A857" s="439" t="str">
        <f t="shared" si="13"/>
        <v>0_0</v>
      </c>
    </row>
    <row r="858" spans="1:1" x14ac:dyDescent="0.25">
      <c r="A858" s="439" t="str">
        <f t="shared" si="13"/>
        <v>0_0</v>
      </c>
    </row>
    <row r="859" spans="1:1" x14ac:dyDescent="0.25">
      <c r="A859" s="439" t="str">
        <f t="shared" si="13"/>
        <v>0_0</v>
      </c>
    </row>
    <row r="860" spans="1:1" x14ac:dyDescent="0.25">
      <c r="A860" s="439" t="str">
        <f t="shared" si="13"/>
        <v>0_0</v>
      </c>
    </row>
    <row r="861" spans="1:1" x14ac:dyDescent="0.25">
      <c r="A861" s="439" t="str">
        <f t="shared" si="13"/>
        <v>0_0</v>
      </c>
    </row>
    <row r="862" spans="1:1" x14ac:dyDescent="0.25">
      <c r="A862" s="439" t="str">
        <f t="shared" si="13"/>
        <v>0_0</v>
      </c>
    </row>
    <row r="863" spans="1:1" x14ac:dyDescent="0.25">
      <c r="A863" s="439" t="str">
        <f t="shared" si="13"/>
        <v>0_0</v>
      </c>
    </row>
    <row r="864" spans="1:1" x14ac:dyDescent="0.25">
      <c r="A864" s="439" t="str">
        <f t="shared" si="13"/>
        <v>0_0</v>
      </c>
    </row>
    <row r="865" spans="1:1" x14ac:dyDescent="0.25">
      <c r="A865" s="439" t="str">
        <f t="shared" si="13"/>
        <v>0_0</v>
      </c>
    </row>
    <row r="866" spans="1:1" x14ac:dyDescent="0.25">
      <c r="A866" s="439" t="str">
        <f t="shared" si="13"/>
        <v>0_0</v>
      </c>
    </row>
    <row r="867" spans="1:1" x14ac:dyDescent="0.25">
      <c r="A867" s="439" t="str">
        <f t="shared" si="13"/>
        <v>0_0</v>
      </c>
    </row>
    <row r="868" spans="1:1" x14ac:dyDescent="0.25">
      <c r="A868" s="439" t="str">
        <f t="shared" si="13"/>
        <v>0_0</v>
      </c>
    </row>
    <row r="869" spans="1:1" x14ac:dyDescent="0.25">
      <c r="A869" s="439" t="str">
        <f t="shared" si="13"/>
        <v>0_0</v>
      </c>
    </row>
    <row r="870" spans="1:1" x14ac:dyDescent="0.25">
      <c r="A870" s="439" t="str">
        <f t="shared" si="13"/>
        <v>0_0</v>
      </c>
    </row>
    <row r="871" spans="1:1" x14ac:dyDescent="0.25">
      <c r="A871" s="439" t="str">
        <f t="shared" si="13"/>
        <v>0_0</v>
      </c>
    </row>
    <row r="872" spans="1:1" x14ac:dyDescent="0.25">
      <c r="A872" s="439" t="str">
        <f t="shared" si="13"/>
        <v>0_0</v>
      </c>
    </row>
    <row r="873" spans="1:1" x14ac:dyDescent="0.25">
      <c r="A873" s="439" t="str">
        <f t="shared" si="13"/>
        <v>0_0</v>
      </c>
    </row>
    <row r="874" spans="1:1" x14ac:dyDescent="0.25">
      <c r="A874" s="439" t="str">
        <f t="shared" si="13"/>
        <v>0_0</v>
      </c>
    </row>
    <row r="875" spans="1:1" x14ac:dyDescent="0.25">
      <c r="A875" s="439" t="str">
        <f t="shared" si="13"/>
        <v>0_0</v>
      </c>
    </row>
    <row r="876" spans="1:1" x14ac:dyDescent="0.25">
      <c r="A876" s="439" t="str">
        <f t="shared" si="13"/>
        <v>0_0</v>
      </c>
    </row>
    <row r="877" spans="1:1" x14ac:dyDescent="0.25">
      <c r="A877" s="439" t="str">
        <f t="shared" si="13"/>
        <v>0_0</v>
      </c>
    </row>
    <row r="878" spans="1:1" x14ac:dyDescent="0.25">
      <c r="A878" s="439" t="str">
        <f t="shared" si="13"/>
        <v>0_0</v>
      </c>
    </row>
    <row r="879" spans="1:1" x14ac:dyDescent="0.25">
      <c r="A879" s="439" t="str">
        <f t="shared" si="13"/>
        <v>0_0</v>
      </c>
    </row>
    <row r="880" spans="1:1" x14ac:dyDescent="0.25">
      <c r="A880" s="439" t="str">
        <f t="shared" si="13"/>
        <v>0_0</v>
      </c>
    </row>
    <row r="881" spans="1:1" x14ac:dyDescent="0.25">
      <c r="A881" s="439" t="str">
        <f t="shared" si="13"/>
        <v>0_0</v>
      </c>
    </row>
    <row r="882" spans="1:1" x14ac:dyDescent="0.25">
      <c r="A882" s="439" t="str">
        <f t="shared" si="13"/>
        <v>0_0</v>
      </c>
    </row>
    <row r="883" spans="1:1" x14ac:dyDescent="0.25">
      <c r="A883" s="439" t="str">
        <f t="shared" si="13"/>
        <v>0_0</v>
      </c>
    </row>
    <row r="884" spans="1:1" x14ac:dyDescent="0.25">
      <c r="A884" s="439" t="str">
        <f t="shared" si="13"/>
        <v>0_0</v>
      </c>
    </row>
    <row r="885" spans="1:1" x14ac:dyDescent="0.25">
      <c r="A885" s="439" t="str">
        <f t="shared" si="13"/>
        <v>0_0</v>
      </c>
    </row>
    <row r="886" spans="1:1" x14ac:dyDescent="0.25">
      <c r="A886" s="439" t="str">
        <f t="shared" si="13"/>
        <v>0_0</v>
      </c>
    </row>
    <row r="887" spans="1:1" x14ac:dyDescent="0.25">
      <c r="A887" s="439" t="str">
        <f t="shared" si="13"/>
        <v>0_0</v>
      </c>
    </row>
    <row r="888" spans="1:1" x14ac:dyDescent="0.25">
      <c r="A888" s="439" t="str">
        <f t="shared" si="13"/>
        <v>0_0</v>
      </c>
    </row>
    <row r="889" spans="1:1" x14ac:dyDescent="0.25">
      <c r="A889" s="439" t="str">
        <f t="shared" si="13"/>
        <v>0_0</v>
      </c>
    </row>
    <row r="890" spans="1:1" x14ac:dyDescent="0.25">
      <c r="A890" s="439" t="str">
        <f t="shared" si="13"/>
        <v>0_0</v>
      </c>
    </row>
    <row r="891" spans="1:1" x14ac:dyDescent="0.25">
      <c r="A891" s="439" t="str">
        <f t="shared" si="13"/>
        <v>0_0</v>
      </c>
    </row>
    <row r="892" spans="1:1" x14ac:dyDescent="0.25">
      <c r="A892" s="439" t="str">
        <f t="shared" si="13"/>
        <v>0_0</v>
      </c>
    </row>
    <row r="893" spans="1:1" x14ac:dyDescent="0.25">
      <c r="A893" s="439" t="str">
        <f t="shared" si="13"/>
        <v>0_0</v>
      </c>
    </row>
    <row r="894" spans="1:1" x14ac:dyDescent="0.25">
      <c r="A894" s="439" t="str">
        <f t="shared" si="13"/>
        <v>0_0</v>
      </c>
    </row>
    <row r="895" spans="1:1" x14ac:dyDescent="0.25">
      <c r="A895" s="439" t="str">
        <f t="shared" si="13"/>
        <v>0_0</v>
      </c>
    </row>
    <row r="896" spans="1:1" x14ac:dyDescent="0.25">
      <c r="A896" s="439" t="str">
        <f t="shared" si="13"/>
        <v>0_0</v>
      </c>
    </row>
    <row r="897" spans="1:1" x14ac:dyDescent="0.25">
      <c r="A897" s="439" t="str">
        <f t="shared" si="13"/>
        <v>0_0</v>
      </c>
    </row>
    <row r="898" spans="1:1" x14ac:dyDescent="0.25">
      <c r="A898" s="439" t="str">
        <f t="shared" si="13"/>
        <v>0_0</v>
      </c>
    </row>
    <row r="899" spans="1:1" x14ac:dyDescent="0.25">
      <c r="A899" s="439" t="str">
        <f t="shared" si="13"/>
        <v>0_0</v>
      </c>
    </row>
    <row r="900" spans="1:1" x14ac:dyDescent="0.25">
      <c r="A900" s="439" t="str">
        <f t="shared" ref="A900" si="14" xml:space="preserve"> IFERROR(+B900*1,B900)&amp;"_"&amp;IFERROR(+D900*1,D900)</f>
        <v>0_0</v>
      </c>
    </row>
  </sheetData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pane="topRight" activeCell="D14" sqref="D14"/>
      <selection pane="bottomLeft" activeCell="D14" sqref="D14"/>
      <selection pane="bottomRight" activeCell="AM13" sqref="AM13:AO35"/>
    </sheetView>
  </sheetViews>
  <sheetFormatPr defaultColWidth="9.28515625" defaultRowHeight="12.75" customHeight="1" x14ac:dyDescent="0.2"/>
  <cols>
    <col min="1" max="1" width="6.5703125" style="439" customWidth="1"/>
    <col min="2" max="2" width="9.42578125" style="439" customWidth="1"/>
    <col min="3" max="3" width="13.28515625" style="439" customWidth="1"/>
    <col min="4" max="4" width="14.28515625" style="439" customWidth="1"/>
    <col min="5" max="5" width="8.42578125" style="439" customWidth="1"/>
    <col min="6" max="6" width="10.42578125" style="439" customWidth="1"/>
    <col min="7" max="7" width="19.28515625" style="439" bestFit="1" customWidth="1"/>
    <col min="8" max="8" width="50.5703125" style="439" customWidth="1"/>
    <col min="9" max="9" width="13.5703125" style="439" customWidth="1"/>
    <col min="10" max="10" width="13" style="439" customWidth="1"/>
    <col min="11" max="11" width="13.5703125" style="439" customWidth="1"/>
    <col min="12" max="12" width="13.7109375" style="439" customWidth="1"/>
    <col min="13" max="13" width="23.7109375" style="439" customWidth="1"/>
    <col min="14" max="14" width="24" style="439" bestFit="1" customWidth="1"/>
    <col min="15" max="15" width="11.42578125" style="439" customWidth="1"/>
    <col min="16" max="16" width="13.28515625" style="439" bestFit="1" customWidth="1"/>
    <col min="17" max="17" width="12.5703125" style="439" bestFit="1" customWidth="1"/>
    <col min="18" max="18" width="11" style="439" bestFit="1" customWidth="1"/>
    <col min="19" max="19" width="11.5703125" style="439" bestFit="1" customWidth="1"/>
    <col min="20" max="20" width="10.7109375" style="439" customWidth="1"/>
    <col min="21" max="21" width="12.28515625" style="439" bestFit="1" customWidth="1"/>
    <col min="22" max="22" width="15.28515625" style="439" customWidth="1"/>
    <col min="23" max="23" width="11.28515625" style="439" bestFit="1" customWidth="1"/>
    <col min="24" max="24" width="11.42578125" style="439" bestFit="1" customWidth="1"/>
    <col min="25" max="29" width="9.28515625" style="439" bestFit="1" customWidth="1"/>
    <col min="30" max="30" width="9.42578125" style="439" bestFit="1" customWidth="1"/>
    <col min="31" max="31" width="13.28515625" style="439" bestFit="1" customWidth="1"/>
    <col min="32" max="32" width="10.42578125" style="439" bestFit="1" customWidth="1"/>
    <col min="33" max="34" width="12.5703125" style="439" bestFit="1" customWidth="1"/>
    <col min="35" max="35" width="12.7109375" style="439" bestFit="1" customWidth="1"/>
    <col min="36" max="36" width="12" style="439" bestFit="1" customWidth="1"/>
    <col min="37" max="37" width="15.5703125" style="439" bestFit="1" customWidth="1"/>
    <col min="38" max="39" width="15.5703125" style="439" customWidth="1"/>
    <col min="40" max="40" width="26.28515625" style="439" bestFit="1" customWidth="1"/>
    <col min="41" max="41" width="12" style="439" bestFit="1" customWidth="1"/>
    <col min="42" max="42" width="5" style="439" bestFit="1" customWidth="1"/>
    <col min="43" max="43" width="7.7109375" style="439" bestFit="1" customWidth="1"/>
    <col min="44" max="16384" width="9.28515625" style="439"/>
  </cols>
  <sheetData>
    <row r="1" spans="1:43" ht="12.75" customHeight="1" x14ac:dyDescent="0.2">
      <c r="A1" s="531" t="s">
        <v>1387</v>
      </c>
      <c r="B1" s="531" t="s">
        <v>8</v>
      </c>
      <c r="C1" s="531" t="s">
        <v>1388</v>
      </c>
      <c r="D1" s="531" t="s">
        <v>1389</v>
      </c>
      <c r="E1" s="531" t="s">
        <v>1390</v>
      </c>
      <c r="F1" s="531" t="s">
        <v>1391</v>
      </c>
      <c r="G1" s="531" t="s">
        <v>1392</v>
      </c>
      <c r="H1" s="531" t="s">
        <v>1393</v>
      </c>
      <c r="I1" s="531" t="s">
        <v>1106</v>
      </c>
      <c r="J1" s="531" t="s">
        <v>1394</v>
      </c>
      <c r="K1" s="531" t="s">
        <v>192</v>
      </c>
      <c r="L1" s="531" t="s">
        <v>19</v>
      </c>
      <c r="M1" s="531" t="s">
        <v>1395</v>
      </c>
      <c r="N1" s="531" t="s">
        <v>1396</v>
      </c>
      <c r="O1" s="531" t="s">
        <v>153</v>
      </c>
      <c r="P1" s="531" t="s">
        <v>1397</v>
      </c>
      <c r="Q1" s="531" t="s">
        <v>1374</v>
      </c>
      <c r="R1" s="531" t="s">
        <v>1398</v>
      </c>
      <c r="S1" s="531" t="s">
        <v>1399</v>
      </c>
      <c r="T1" s="531" t="s">
        <v>1400</v>
      </c>
      <c r="U1" s="531" t="s">
        <v>1401</v>
      </c>
      <c r="V1" s="531" t="s">
        <v>314</v>
      </c>
      <c r="W1" s="531" t="s">
        <v>1402</v>
      </c>
      <c r="X1" s="531" t="s">
        <v>1378</v>
      </c>
      <c r="Y1" s="531" t="s">
        <v>1379</v>
      </c>
      <c r="Z1" s="531" t="s">
        <v>1380</v>
      </c>
      <c r="AA1" s="531" t="s">
        <v>325</v>
      </c>
      <c r="AB1" s="531" t="s">
        <v>171</v>
      </c>
      <c r="AC1" s="531" t="s">
        <v>1381</v>
      </c>
      <c r="AD1" s="531" t="s">
        <v>1382</v>
      </c>
      <c r="AE1" s="531" t="s">
        <v>1383</v>
      </c>
      <c r="AF1" s="531" t="s">
        <v>1384</v>
      </c>
      <c r="AG1" s="531" t="s">
        <v>1385</v>
      </c>
      <c r="AH1" s="531" t="s">
        <v>1386</v>
      </c>
      <c r="AI1" s="531" t="s">
        <v>1403</v>
      </c>
      <c r="AJ1" s="531" t="s">
        <v>1404</v>
      </c>
      <c r="AK1" s="531" t="s">
        <v>1405</v>
      </c>
      <c r="AL1" s="531" t="s">
        <v>1406</v>
      </c>
      <c r="AM1" s="531" t="s">
        <v>1407</v>
      </c>
      <c r="AN1" s="531" t="s">
        <v>1408</v>
      </c>
      <c r="AO1" s="531" t="s">
        <v>692</v>
      </c>
      <c r="AP1" s="531" t="s">
        <v>1409</v>
      </c>
      <c r="AQ1" s="531" t="s">
        <v>1410</v>
      </c>
    </row>
    <row r="2" spans="1:43" ht="12.75" customHeight="1" x14ac:dyDescent="0.2">
      <c r="A2" s="439">
        <f>'Input-FX Rates'!$C$4</f>
        <v>242</v>
      </c>
      <c r="B2" s="439" t="str">
        <f>'Input-FX Rates'!$B$4</f>
        <v>ICH Icheon (242)</v>
      </c>
      <c r="C2" s="439">
        <f>'Input-FX Rates'!$C$6</f>
        <v>750</v>
      </c>
      <c r="D2" s="439" t="str">
        <f>'Input-FX Rates'!$B$6</f>
        <v>750 BU Sensorics &amp; Controls</v>
      </c>
      <c r="E2" s="439" t="str">
        <f>'Input-FX Rates'!$C$5</f>
        <v>7521 &amp; 7522</v>
      </c>
      <c r="F2" s="439" t="str">
        <f>'Input-FX Rates'!$B$5</f>
        <v>7521 &amp; 7522 PL Mechatronic Sensors (&amp; Electrification)</v>
      </c>
      <c r="G2" s="439" t="s">
        <v>189</v>
      </c>
      <c r="H2" s="439" t="s">
        <v>195</v>
      </c>
      <c r="I2" s="524">
        <f>'1. Main Issues (GC)'!A7</f>
        <v>6430.0853443020487</v>
      </c>
      <c r="J2" s="524">
        <f>'1. Main Issues (GC)'!B7</f>
        <v>12347.858759969902</v>
      </c>
      <c r="K2" s="524">
        <f>'1. Main Issues (GC)'!C7</f>
        <v>7249.997525078973</v>
      </c>
      <c r="L2" s="524">
        <f>'1. Main Issues (GC)'!D7</f>
        <v>15111.540802308424</v>
      </c>
      <c r="M2" s="523"/>
      <c r="N2" s="523"/>
      <c r="O2" s="524">
        <f>'1. Main Issues (GC)'!F7</f>
        <v>14187.261937931033</v>
      </c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  <c r="AA2" s="523"/>
      <c r="AB2" s="523"/>
      <c r="AC2" s="523"/>
      <c r="AD2" s="523"/>
      <c r="AE2" s="523"/>
      <c r="AF2" s="523"/>
      <c r="AG2" s="523"/>
      <c r="AH2" s="523"/>
      <c r="AI2" s="523"/>
      <c r="AJ2" s="523"/>
      <c r="AK2" s="523"/>
      <c r="AL2" s="523"/>
      <c r="AM2" s="523"/>
      <c r="AN2" s="523"/>
      <c r="AO2" s="523"/>
      <c r="AP2" s="439">
        <v>1</v>
      </c>
      <c r="AQ2" s="439" t="str">
        <f>Settings!$A$1</f>
        <v>V2</v>
      </c>
    </row>
    <row r="3" spans="1:43" ht="12.75" customHeight="1" x14ac:dyDescent="0.2">
      <c r="A3" s="439">
        <f>'Input-FX Rates'!$C$4</f>
        <v>242</v>
      </c>
      <c r="B3" s="439" t="str">
        <f>'Input-FX Rates'!$B$4</f>
        <v>ICH Icheon (242)</v>
      </c>
      <c r="C3" s="439">
        <f>'Input-FX Rates'!$C$6</f>
        <v>750</v>
      </c>
      <c r="D3" s="439" t="str">
        <f>'Input-FX Rates'!$B$6</f>
        <v>750 BU Sensorics &amp; Controls</v>
      </c>
      <c r="E3" s="439" t="str">
        <f>'Input-FX Rates'!$C$5</f>
        <v>7521 &amp; 7522</v>
      </c>
      <c r="F3" s="439" t="str">
        <f>'Input-FX Rates'!$B$5</f>
        <v>7521 &amp; 7522 PL Mechatronic Sensors (&amp; Electrification)</v>
      </c>
      <c r="G3" s="439" t="s">
        <v>189</v>
      </c>
      <c r="H3" s="439" t="s">
        <v>197</v>
      </c>
      <c r="I3" s="524">
        <f>'1. Main Issues (GC)'!A8</f>
        <v>1803.1185875629321</v>
      </c>
      <c r="J3" s="524">
        <f>'1. Main Issues (GC)'!B8</f>
        <v>2513.4975959367948</v>
      </c>
      <c r="K3" s="524">
        <f>'1. Main Issues (GC)'!C8</f>
        <v>1548.3232185183656</v>
      </c>
      <c r="L3" s="524">
        <f>'1. Main Issues (GC)'!D8</f>
        <v>4020.5110852391203</v>
      </c>
      <c r="M3" s="523"/>
      <c r="N3" s="523"/>
      <c r="O3" s="524">
        <f>'1. Main Issues (GC)'!F8</f>
        <v>4842.1016889655175</v>
      </c>
      <c r="P3" s="523"/>
      <c r="Q3" s="523"/>
      <c r="R3" s="523"/>
      <c r="S3" s="523"/>
      <c r="T3" s="523"/>
      <c r="U3" s="523"/>
      <c r="V3" s="523"/>
      <c r="W3" s="523"/>
      <c r="X3" s="523"/>
      <c r="Y3" s="523"/>
      <c r="Z3" s="523"/>
      <c r="AA3" s="523"/>
      <c r="AB3" s="523"/>
      <c r="AC3" s="523"/>
      <c r="AD3" s="523"/>
      <c r="AE3" s="523"/>
      <c r="AF3" s="523"/>
      <c r="AG3" s="523"/>
      <c r="AH3" s="523"/>
      <c r="AI3" s="523"/>
      <c r="AJ3" s="523"/>
      <c r="AK3" s="523"/>
      <c r="AL3" s="523"/>
      <c r="AM3" s="523"/>
      <c r="AN3" s="523"/>
      <c r="AO3" s="523"/>
      <c r="AP3" s="439">
        <v>2</v>
      </c>
      <c r="AQ3" s="439" t="str">
        <f>Settings!$A$1</f>
        <v>V2</v>
      </c>
    </row>
    <row r="4" spans="1:43" ht="12.75" customHeight="1" x14ac:dyDescent="0.2">
      <c r="A4" s="439">
        <f>'Input-FX Rates'!$C$4</f>
        <v>242</v>
      </c>
      <c r="B4" s="439" t="str">
        <f>'Input-FX Rates'!$B$4</f>
        <v>ICH Icheon (242)</v>
      </c>
      <c r="C4" s="439">
        <f>'Input-FX Rates'!$C$6</f>
        <v>750</v>
      </c>
      <c r="D4" s="439" t="str">
        <f>'Input-FX Rates'!$B$6</f>
        <v>750 BU Sensorics &amp; Controls</v>
      </c>
      <c r="E4" s="439" t="str">
        <f>'Input-FX Rates'!$C$5</f>
        <v>7521 &amp; 7522</v>
      </c>
      <c r="F4" s="439" t="str">
        <f>'Input-FX Rates'!$B$5</f>
        <v>7521 &amp; 7522 PL Mechatronic Sensors (&amp; Electrification)</v>
      </c>
      <c r="G4" s="439" t="s">
        <v>189</v>
      </c>
      <c r="H4" s="439" t="s">
        <v>199</v>
      </c>
      <c r="I4" s="524">
        <f>'1. Main Issues (GC)'!A10</f>
        <v>-871.63030451382917</v>
      </c>
      <c r="J4" s="524">
        <f>'1. Main Issues (GC)'!B10</f>
        <v>-1098.5767148231755</v>
      </c>
      <c r="K4" s="524">
        <f>'1. Main Issues (GC)'!C10</f>
        <v>-584.93222606875224</v>
      </c>
      <c r="L4" s="524">
        <f>'1. Main Issues (GC)'!D10</f>
        <v>-1165.6587397467918</v>
      </c>
      <c r="M4" s="523"/>
      <c r="N4" s="523"/>
      <c r="O4" s="524">
        <f>'1. Main Issues (GC)'!F10</f>
        <v>-1668.7794586206896</v>
      </c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3"/>
      <c r="AC4" s="523"/>
      <c r="AD4" s="523"/>
      <c r="AE4" s="523"/>
      <c r="AF4" s="523"/>
      <c r="AG4" s="523"/>
      <c r="AH4" s="523"/>
      <c r="AI4" s="523"/>
      <c r="AJ4" s="523"/>
      <c r="AK4" s="523"/>
      <c r="AL4" s="523"/>
      <c r="AM4" s="523"/>
      <c r="AN4" s="523"/>
      <c r="AO4" s="523"/>
      <c r="AP4" s="439">
        <v>3</v>
      </c>
      <c r="AQ4" s="439" t="str">
        <f>Settings!$A$1</f>
        <v>V2</v>
      </c>
    </row>
    <row r="5" spans="1:43" ht="12.75" customHeight="1" x14ac:dyDescent="0.2">
      <c r="A5" s="439">
        <f>'Input-FX Rates'!$C$4</f>
        <v>242</v>
      </c>
      <c r="B5" s="439" t="str">
        <f>'Input-FX Rates'!$B$4</f>
        <v>ICH Icheon (242)</v>
      </c>
      <c r="C5" s="439">
        <f>'Input-FX Rates'!$C$6</f>
        <v>750</v>
      </c>
      <c r="D5" s="439" t="str">
        <f>'Input-FX Rates'!$B$6</f>
        <v>750 BU Sensorics &amp; Controls</v>
      </c>
      <c r="E5" s="439" t="str">
        <f>'Input-FX Rates'!$C$5</f>
        <v>7521 &amp; 7522</v>
      </c>
      <c r="F5" s="439" t="str">
        <f>'Input-FX Rates'!$B$5</f>
        <v>7521 &amp; 7522 PL Mechatronic Sensors (&amp; Electrification)</v>
      </c>
      <c r="G5" s="439" t="s">
        <v>189</v>
      </c>
      <c r="H5" s="439" t="s">
        <v>200</v>
      </c>
      <c r="I5" s="524">
        <f>'1. Main Issues (GC)'!A12</f>
        <v>-290.59740996705369</v>
      </c>
      <c r="J5" s="524">
        <f>'1. Main Issues (GC)'!B12</f>
        <v>-322.25103837471784</v>
      </c>
      <c r="K5" s="524">
        <f>'1. Main Issues (GC)'!C12</f>
        <v>-98.558169688609254</v>
      </c>
      <c r="L5" s="524">
        <f>'1. Main Issues (GC)'!D12</f>
        <v>-212.87887994197882</v>
      </c>
      <c r="M5" s="523"/>
      <c r="N5" s="523"/>
      <c r="O5" s="524">
        <f>'1. Main Issues (GC)'!F12</f>
        <v>-129.40859103448275</v>
      </c>
      <c r="P5" s="523"/>
      <c r="Q5" s="523"/>
      <c r="R5" s="523"/>
      <c r="S5" s="523"/>
      <c r="T5" s="523"/>
      <c r="U5" s="523"/>
      <c r="V5" s="523"/>
      <c r="W5" s="523"/>
      <c r="X5" s="523"/>
      <c r="Y5" s="523"/>
      <c r="Z5" s="523"/>
      <c r="AA5" s="523"/>
      <c r="AB5" s="523"/>
      <c r="AC5" s="523"/>
      <c r="AD5" s="523"/>
      <c r="AE5" s="523"/>
      <c r="AF5" s="523"/>
      <c r="AG5" s="523"/>
      <c r="AH5" s="523"/>
      <c r="AI5" s="523"/>
      <c r="AJ5" s="523"/>
      <c r="AK5" s="523"/>
      <c r="AL5" s="523"/>
      <c r="AM5" s="523"/>
      <c r="AN5" s="523"/>
      <c r="AO5" s="523"/>
      <c r="AP5" s="439">
        <v>4</v>
      </c>
      <c r="AQ5" s="439" t="str">
        <f>Settings!$A$1</f>
        <v>V2</v>
      </c>
    </row>
    <row r="6" spans="1:43" ht="12.75" customHeight="1" x14ac:dyDescent="0.2">
      <c r="A6" s="439">
        <f>'Input-FX Rates'!$C$4</f>
        <v>242</v>
      </c>
      <c r="B6" s="439" t="str">
        <f>'Input-FX Rates'!$B$4</f>
        <v>ICH Icheon (242)</v>
      </c>
      <c r="C6" s="439">
        <f>'Input-FX Rates'!$C$6</f>
        <v>750</v>
      </c>
      <c r="D6" s="439" t="str">
        <f>'Input-FX Rates'!$B$6</f>
        <v>750 BU Sensorics &amp; Controls</v>
      </c>
      <c r="E6" s="439" t="str">
        <f>'Input-FX Rates'!$C$5</f>
        <v>7521 &amp; 7522</v>
      </c>
      <c r="F6" s="439" t="str">
        <f>'Input-FX Rates'!$B$5</f>
        <v>7521 &amp; 7522 PL Mechatronic Sensors (&amp; Electrification)</v>
      </c>
      <c r="G6" s="439" t="s">
        <v>189</v>
      </c>
      <c r="H6" s="439" t="s">
        <v>201</v>
      </c>
      <c r="I6" s="524">
        <f>'1. Main Issues (GC)'!A13</f>
        <v>108.69722457902171</v>
      </c>
      <c r="J6" s="524">
        <f>'1. Main Issues (GC)'!B13</f>
        <v>0</v>
      </c>
      <c r="K6" s="524">
        <f>'1. Main Issues (GC)'!C13</f>
        <v>-68.401135628256384</v>
      </c>
      <c r="L6" s="524">
        <f>'1. Main Issues (GC)'!D13</f>
        <v>-77.657469029945815</v>
      </c>
      <c r="M6" s="523"/>
      <c r="N6" s="523"/>
      <c r="O6" s="524">
        <f>'1. Main Issues (GC)'!F13</f>
        <v>0</v>
      </c>
      <c r="P6" s="523"/>
      <c r="Q6" s="523"/>
      <c r="R6" s="523"/>
      <c r="S6" s="523"/>
      <c r="T6" s="523"/>
      <c r="U6" s="523"/>
      <c r="V6" s="523"/>
      <c r="W6" s="523"/>
      <c r="X6" s="523"/>
      <c r="Y6" s="523"/>
      <c r="Z6" s="523"/>
      <c r="AA6" s="523"/>
      <c r="AB6" s="523"/>
      <c r="AC6" s="523"/>
      <c r="AD6" s="523"/>
      <c r="AE6" s="523"/>
      <c r="AF6" s="523"/>
      <c r="AG6" s="523"/>
      <c r="AH6" s="523"/>
      <c r="AI6" s="523"/>
      <c r="AJ6" s="523"/>
      <c r="AK6" s="523"/>
      <c r="AL6" s="523"/>
      <c r="AM6" s="523"/>
      <c r="AN6" s="523"/>
      <c r="AO6" s="523"/>
      <c r="AP6" s="439">
        <v>5</v>
      </c>
      <c r="AQ6" s="439" t="str">
        <f>Settings!$A$1</f>
        <v>V2</v>
      </c>
    </row>
    <row r="7" spans="1:43" ht="12.75" customHeight="1" x14ac:dyDescent="0.2">
      <c r="A7" s="439">
        <f>'Input-FX Rates'!$C$4</f>
        <v>242</v>
      </c>
      <c r="B7" s="439" t="str">
        <f>'Input-FX Rates'!$B$4</f>
        <v>ICH Icheon (242)</v>
      </c>
      <c r="C7" s="439">
        <f>'Input-FX Rates'!$C$6</f>
        <v>750</v>
      </c>
      <c r="D7" s="439" t="str">
        <f>'Input-FX Rates'!$B$6</f>
        <v>750 BU Sensorics &amp; Controls</v>
      </c>
      <c r="E7" s="439" t="str">
        <f>'Input-FX Rates'!$C$5</f>
        <v>7521 &amp; 7522</v>
      </c>
      <c r="F7" s="439" t="str">
        <f>'Input-FX Rates'!$B$5</f>
        <v>7521 &amp; 7522 PL Mechatronic Sensors (&amp; Electrification)</v>
      </c>
      <c r="G7" s="439" t="s">
        <v>189</v>
      </c>
      <c r="H7" s="439" t="s">
        <v>202</v>
      </c>
      <c r="I7" s="524">
        <f>'1. Main Issues (GC)'!A14</f>
        <v>749.58809766107117</v>
      </c>
      <c r="J7" s="524">
        <f>'1. Main Issues (GC)'!B14</f>
        <v>1092.6698427389013</v>
      </c>
      <c r="K7" s="524">
        <f>'1. Main Issues (GC)'!C14</f>
        <v>796.43168713274792</v>
      </c>
      <c r="L7" s="524">
        <f>'1. Main Issues (GC)'!D14</f>
        <v>2564.315996520404</v>
      </c>
      <c r="M7" s="523"/>
      <c r="N7" s="523"/>
      <c r="O7" s="524">
        <f>'1. Main Issues (GC)'!F14</f>
        <v>3043.9136393103445</v>
      </c>
      <c r="P7" s="523"/>
      <c r="Q7" s="523"/>
      <c r="R7" s="523"/>
      <c r="S7" s="523"/>
      <c r="T7" s="523"/>
      <c r="U7" s="523"/>
      <c r="V7" s="523"/>
      <c r="W7" s="523"/>
      <c r="X7" s="523"/>
      <c r="Y7" s="523"/>
      <c r="Z7" s="523"/>
      <c r="AA7" s="523"/>
      <c r="AB7" s="523"/>
      <c r="AC7" s="523"/>
      <c r="AD7" s="523"/>
      <c r="AE7" s="523"/>
      <c r="AF7" s="523"/>
      <c r="AG7" s="523"/>
      <c r="AH7" s="523"/>
      <c r="AI7" s="523"/>
      <c r="AJ7" s="523"/>
      <c r="AK7" s="523"/>
      <c r="AL7" s="523"/>
      <c r="AM7" s="523"/>
      <c r="AN7" s="523"/>
      <c r="AO7" s="523"/>
      <c r="AP7" s="439">
        <v>6</v>
      </c>
      <c r="AQ7" s="439" t="str">
        <f>Settings!$A$1</f>
        <v>V2</v>
      </c>
    </row>
    <row r="8" spans="1:43" ht="12.75" customHeight="1" x14ac:dyDescent="0.2">
      <c r="A8" s="439">
        <f>'Input-FX Rates'!$C$4</f>
        <v>242</v>
      </c>
      <c r="B8" s="439" t="str">
        <f>'Input-FX Rates'!$B$4</f>
        <v>ICH Icheon (242)</v>
      </c>
      <c r="C8" s="439">
        <f>'Input-FX Rates'!$C$6</f>
        <v>750</v>
      </c>
      <c r="D8" s="439" t="str">
        <f>'Input-FX Rates'!$B$6</f>
        <v>750 BU Sensorics &amp; Controls</v>
      </c>
      <c r="E8" s="439" t="str">
        <f>'Input-FX Rates'!$C$5</f>
        <v>7521 &amp; 7522</v>
      </c>
      <c r="F8" s="439" t="str">
        <f>'Input-FX Rates'!$B$5</f>
        <v>7521 &amp; 7522 PL Mechatronic Sensors (&amp; Electrification)</v>
      </c>
      <c r="G8" s="439" t="s">
        <v>189</v>
      </c>
      <c r="H8" s="439" t="s">
        <v>203</v>
      </c>
      <c r="I8" s="524">
        <f>'1. Main Issues (GC)'!A16</f>
        <v>-1093.0588917756354</v>
      </c>
      <c r="J8" s="524">
        <f>'1. Main Issues (GC)'!B16</f>
        <v>-1563.5508419864559</v>
      </c>
      <c r="K8" s="524">
        <f>'1. Main Issues (GC)'!C16</f>
        <v>-673.51305324175462</v>
      </c>
      <c r="L8" s="524">
        <f>'1. Main Issues (GC)'!D16</f>
        <v>-1446.3745308813732</v>
      </c>
      <c r="M8" s="523"/>
      <c r="N8" s="523"/>
      <c r="O8" s="524">
        <f>'1. Main Issues (GC)'!F16</f>
        <v>-1818.594388275862</v>
      </c>
      <c r="P8" s="523"/>
      <c r="Q8" s="523"/>
      <c r="R8" s="523"/>
      <c r="S8" s="523"/>
      <c r="T8" s="523"/>
      <c r="U8" s="523"/>
      <c r="V8" s="523"/>
      <c r="W8" s="523"/>
      <c r="X8" s="523"/>
      <c r="Y8" s="523"/>
      <c r="Z8" s="523"/>
      <c r="AA8" s="523"/>
      <c r="AB8" s="523"/>
      <c r="AC8" s="523"/>
      <c r="AD8" s="523"/>
      <c r="AE8" s="523"/>
      <c r="AF8" s="523"/>
      <c r="AG8" s="523"/>
      <c r="AH8" s="523"/>
      <c r="AI8" s="523"/>
      <c r="AJ8" s="523"/>
      <c r="AK8" s="523"/>
      <c r="AL8" s="523"/>
      <c r="AM8" s="523"/>
      <c r="AN8" s="523"/>
      <c r="AO8" s="523"/>
      <c r="AP8" s="439">
        <v>7</v>
      </c>
      <c r="AQ8" s="439" t="str">
        <f>Settings!$A$1</f>
        <v>V2</v>
      </c>
    </row>
    <row r="9" spans="1:43" ht="12.75" customHeight="1" x14ac:dyDescent="0.2">
      <c r="A9" s="439">
        <f>'Input-FX Rates'!$C$4</f>
        <v>242</v>
      </c>
      <c r="B9" s="439" t="str">
        <f>'Input-FX Rates'!$B$4</f>
        <v>ICH Icheon (242)</v>
      </c>
      <c r="C9" s="439">
        <f>'Input-FX Rates'!$C$6</f>
        <v>750</v>
      </c>
      <c r="D9" s="439" t="str">
        <f>'Input-FX Rates'!$B$6</f>
        <v>750 BU Sensorics &amp; Controls</v>
      </c>
      <c r="E9" s="439" t="str">
        <f>'Input-FX Rates'!$C$5</f>
        <v>7521 &amp; 7522</v>
      </c>
      <c r="F9" s="439" t="str">
        <f>'Input-FX Rates'!$B$5</f>
        <v>7521 &amp; 7522 PL Mechatronic Sensors (&amp; Electrification)</v>
      </c>
      <c r="G9" s="439" t="s">
        <v>189</v>
      </c>
      <c r="H9" s="439" t="s">
        <v>204</v>
      </c>
      <c r="I9" s="524">
        <f>'1. Main Issues (GC)'!A17</f>
        <v>-4.1752704034814148</v>
      </c>
      <c r="J9" s="524">
        <f>'1. Main Issues (GC)'!B17</f>
        <v>0</v>
      </c>
      <c r="K9" s="524">
        <f>'1. Main Issues (GC)'!C17</f>
        <v>-21.416007754933393</v>
      </c>
      <c r="L9" s="524">
        <f>'1. Main Issues (GC)'!D17</f>
        <v>22.7025909193244</v>
      </c>
      <c r="M9" s="523"/>
      <c r="N9" s="523"/>
      <c r="O9" s="524">
        <f>'1. Main Issues (GC)'!F17</f>
        <v>0</v>
      </c>
      <c r="P9" s="523"/>
      <c r="Q9" s="523"/>
      <c r="R9" s="523"/>
      <c r="S9" s="523"/>
      <c r="T9" s="523"/>
      <c r="U9" s="523"/>
      <c r="V9" s="523"/>
      <c r="W9" s="523"/>
      <c r="X9" s="523"/>
      <c r="Y9" s="523"/>
      <c r="Z9" s="523"/>
      <c r="AA9" s="523"/>
      <c r="AB9" s="523"/>
      <c r="AC9" s="523"/>
      <c r="AD9" s="523"/>
      <c r="AE9" s="523"/>
      <c r="AF9" s="523"/>
      <c r="AG9" s="523"/>
      <c r="AH9" s="523"/>
      <c r="AI9" s="523"/>
      <c r="AJ9" s="523"/>
      <c r="AK9" s="523"/>
      <c r="AL9" s="523"/>
      <c r="AM9" s="523"/>
      <c r="AN9" s="523"/>
      <c r="AO9" s="523"/>
      <c r="AP9" s="439">
        <v>8</v>
      </c>
      <c r="AQ9" s="439" t="str">
        <f>Settings!$A$1</f>
        <v>V2</v>
      </c>
    </row>
    <row r="10" spans="1:43" ht="12.75" customHeight="1" x14ac:dyDescent="0.2">
      <c r="A10" s="439">
        <f>'Input-FX Rates'!$C$4</f>
        <v>242</v>
      </c>
      <c r="B10" s="439" t="str">
        <f>'Input-FX Rates'!$B$4</f>
        <v>ICH Icheon (242)</v>
      </c>
      <c r="C10" s="439">
        <f>'Input-FX Rates'!$C$6</f>
        <v>750</v>
      </c>
      <c r="D10" s="439" t="str">
        <f>'Input-FX Rates'!$B$6</f>
        <v>750 BU Sensorics &amp; Controls</v>
      </c>
      <c r="E10" s="439" t="str">
        <f>'Input-FX Rates'!$C$5</f>
        <v>7521 &amp; 7522</v>
      </c>
      <c r="F10" s="439" t="str">
        <f>'Input-FX Rates'!$B$5</f>
        <v>7521 &amp; 7522 PL Mechatronic Sensors (&amp; Electrification)</v>
      </c>
      <c r="G10" s="439" t="s">
        <v>189</v>
      </c>
      <c r="H10" s="439" t="s">
        <v>205</v>
      </c>
      <c r="I10" s="524">
        <f>'1. Main Issues (GC)'!A18</f>
        <v>0</v>
      </c>
      <c r="J10" s="524">
        <f>'1. Main Issues (GC)'!B18</f>
        <v>0</v>
      </c>
      <c r="K10" s="524">
        <f>'1. Main Issues (GC)'!C18</f>
        <v>0</v>
      </c>
      <c r="L10" s="524">
        <f>'1. Main Issues (GC)'!D18</f>
        <v>0</v>
      </c>
      <c r="M10" s="523"/>
      <c r="N10" s="523"/>
      <c r="O10" s="524">
        <f>'1. Main Issues (GC)'!F18</f>
        <v>0</v>
      </c>
      <c r="P10" s="523"/>
      <c r="Q10" s="523"/>
      <c r="R10" s="523"/>
      <c r="S10" s="523"/>
      <c r="T10" s="523"/>
      <c r="U10" s="523"/>
      <c r="V10" s="523"/>
      <c r="W10" s="523"/>
      <c r="X10" s="523"/>
      <c r="Y10" s="523"/>
      <c r="Z10" s="523"/>
      <c r="AA10" s="523"/>
      <c r="AB10" s="523"/>
      <c r="AC10" s="523"/>
      <c r="AD10" s="523"/>
      <c r="AE10" s="523"/>
      <c r="AF10" s="523"/>
      <c r="AG10" s="523"/>
      <c r="AH10" s="523"/>
      <c r="AI10" s="523"/>
      <c r="AJ10" s="523"/>
      <c r="AK10" s="523"/>
      <c r="AL10" s="523"/>
      <c r="AM10" s="523"/>
      <c r="AN10" s="523"/>
      <c r="AO10" s="523"/>
      <c r="AP10" s="439">
        <v>9</v>
      </c>
      <c r="AQ10" s="439" t="str">
        <f>Settings!$A$1</f>
        <v>V2</v>
      </c>
    </row>
    <row r="11" spans="1:43" ht="12.75" customHeight="1" x14ac:dyDescent="0.2">
      <c r="A11" s="439">
        <f>'Input-FX Rates'!$C$4</f>
        <v>242</v>
      </c>
      <c r="B11" s="439" t="str">
        <f>'Input-FX Rates'!$B$4</f>
        <v>ICH Icheon (242)</v>
      </c>
      <c r="C11" s="439">
        <f>'Input-FX Rates'!$C$6</f>
        <v>750</v>
      </c>
      <c r="D11" s="439" t="str">
        <f>'Input-FX Rates'!$B$6</f>
        <v>750 BU Sensorics &amp; Controls</v>
      </c>
      <c r="E11" s="439" t="str">
        <f>'Input-FX Rates'!$C$5</f>
        <v>7521 &amp; 7522</v>
      </c>
      <c r="F11" s="439" t="str">
        <f>'Input-FX Rates'!$B$5</f>
        <v>7521 &amp; 7522 PL Mechatronic Sensors (&amp; Electrification)</v>
      </c>
      <c r="G11" s="439" t="s">
        <v>189</v>
      </c>
      <c r="H11" s="439" t="s">
        <v>206</v>
      </c>
      <c r="I11" s="524">
        <f>'1. Main Issues (GC)'!A19</f>
        <v>0</v>
      </c>
      <c r="J11" s="524">
        <f>'1. Main Issues (GC)'!B19</f>
        <v>0</v>
      </c>
      <c r="K11" s="524">
        <f>'1. Main Issues (GC)'!C19</f>
        <v>0</v>
      </c>
      <c r="L11" s="524">
        <f>'1. Main Issues (GC)'!D19</f>
        <v>0</v>
      </c>
      <c r="M11" s="523"/>
      <c r="N11" s="523"/>
      <c r="O11" s="524">
        <f>'1. Main Issues (GC)'!F19</f>
        <v>0</v>
      </c>
      <c r="P11" s="523"/>
      <c r="Q11" s="523"/>
      <c r="R11" s="523"/>
      <c r="S11" s="523"/>
      <c r="T11" s="523"/>
      <c r="U11" s="523"/>
      <c r="V11" s="523"/>
      <c r="W11" s="523"/>
      <c r="X11" s="523"/>
      <c r="Y11" s="523"/>
      <c r="Z11" s="523"/>
      <c r="AA11" s="523"/>
      <c r="AB11" s="523"/>
      <c r="AC11" s="523"/>
      <c r="AD11" s="523"/>
      <c r="AE11" s="523"/>
      <c r="AF11" s="523"/>
      <c r="AG11" s="523"/>
      <c r="AH11" s="523"/>
      <c r="AI11" s="523"/>
      <c r="AJ11" s="523"/>
      <c r="AK11" s="523"/>
      <c r="AL11" s="523"/>
      <c r="AM11" s="523"/>
      <c r="AN11" s="523"/>
      <c r="AO11" s="523"/>
      <c r="AP11" s="439">
        <v>10</v>
      </c>
      <c r="AQ11" s="439" t="str">
        <f>Settings!$A$1</f>
        <v>V2</v>
      </c>
    </row>
    <row r="12" spans="1:43" s="525" customFormat="1" ht="12.75" customHeight="1" x14ac:dyDescent="0.2">
      <c r="A12" s="525">
        <f>'Input-FX Rates'!$C$4</f>
        <v>242</v>
      </c>
      <c r="B12" s="525" t="str">
        <f>'Input-FX Rates'!$B$4</f>
        <v>ICH Icheon (242)</v>
      </c>
      <c r="C12" s="525">
        <f>'Input-FX Rates'!$C$6</f>
        <v>750</v>
      </c>
      <c r="D12" s="525" t="str">
        <f>'Input-FX Rates'!$B$6</f>
        <v>750 BU Sensorics &amp; Controls</v>
      </c>
      <c r="E12" s="525" t="str">
        <f>'Input-FX Rates'!$C$5</f>
        <v>7521 &amp; 7522</v>
      </c>
      <c r="F12" s="525" t="str">
        <f>'Input-FX Rates'!$B$5</f>
        <v>7521 &amp; 7522 PL Mechatronic Sensors (&amp; Electrification)</v>
      </c>
      <c r="G12" s="525" t="s">
        <v>189</v>
      </c>
      <c r="H12" s="525" t="s">
        <v>207</v>
      </c>
      <c r="I12" s="527">
        <f>'1. Main Issues (GC)'!A20</f>
        <v>-347.64606451804565</v>
      </c>
      <c r="J12" s="527">
        <f>'1. Main Issues (GC)'!B20</f>
        <v>-470.88099924755454</v>
      </c>
      <c r="K12" s="527">
        <f>'1. Main Issues (GC)'!C20</f>
        <v>101.50262613605979</v>
      </c>
      <c r="L12" s="527">
        <f>'1. Main Issues (GC)'!D20</f>
        <v>1140.6440565583553</v>
      </c>
      <c r="M12" s="526"/>
      <c r="N12" s="526"/>
      <c r="O12" s="527">
        <f>'1. Main Issues (GC)'!F20</f>
        <v>1225.3192510344829</v>
      </c>
      <c r="P12" s="526"/>
      <c r="Q12" s="526"/>
      <c r="R12" s="526"/>
      <c r="S12" s="526"/>
      <c r="T12" s="526"/>
      <c r="U12" s="526"/>
      <c r="V12" s="526"/>
      <c r="W12" s="526"/>
      <c r="X12" s="526"/>
      <c r="Y12" s="526"/>
      <c r="Z12" s="526"/>
      <c r="AA12" s="526"/>
      <c r="AB12" s="526"/>
      <c r="AC12" s="526"/>
      <c r="AD12" s="526"/>
      <c r="AE12" s="526"/>
      <c r="AF12" s="526"/>
      <c r="AG12" s="526"/>
      <c r="AH12" s="526"/>
      <c r="AI12" s="526"/>
      <c r="AJ12" s="526"/>
      <c r="AK12" s="526"/>
      <c r="AL12" s="526"/>
      <c r="AM12" s="526"/>
      <c r="AN12" s="526"/>
      <c r="AO12" s="526"/>
      <c r="AP12" s="525">
        <v>11</v>
      </c>
      <c r="AQ12" s="525" t="str">
        <f>Settings!$A$1</f>
        <v>V2</v>
      </c>
    </row>
    <row r="13" spans="1:43" ht="12.75" customHeight="1" x14ac:dyDescent="0.2">
      <c r="A13" s="439">
        <f>'Input-FX Rates'!$C$4</f>
        <v>242</v>
      </c>
      <c r="B13" s="439" t="str">
        <f>'Input-FX Rates'!$B$4</f>
        <v>ICH Icheon (242)</v>
      </c>
      <c r="C13" s="439">
        <f>'Input-FX Rates'!$C$6</f>
        <v>750</v>
      </c>
      <c r="D13" s="439" t="str">
        <f>'Input-FX Rates'!$B$6</f>
        <v>750 BU Sensorics &amp; Controls</v>
      </c>
      <c r="E13" s="439" t="str">
        <f>'Input-FX Rates'!$C$5</f>
        <v>7521 &amp; 7522</v>
      </c>
      <c r="F13" s="439" t="str">
        <f>'Input-FX Rates'!$B$5</f>
        <v>7521 &amp; 7522 PL Mechatronic Sensors (&amp; Electrification)</v>
      </c>
      <c r="G13" s="439" t="s">
        <v>1411</v>
      </c>
      <c r="H13" s="439" t="s">
        <v>221</v>
      </c>
      <c r="I13" s="523"/>
      <c r="J13" s="523"/>
      <c r="K13" s="523"/>
      <c r="L13" s="523"/>
      <c r="M13" s="523"/>
      <c r="N13" s="523"/>
      <c r="O13" s="523"/>
      <c r="P13" s="523"/>
      <c r="Q13" s="523"/>
      <c r="R13" s="523"/>
      <c r="S13" s="523"/>
      <c r="T13" s="523"/>
      <c r="U13" s="523"/>
      <c r="V13" s="523"/>
      <c r="W13" s="523"/>
      <c r="X13" s="523"/>
      <c r="Y13" s="523"/>
      <c r="Z13" s="523"/>
      <c r="AA13" s="523"/>
      <c r="AB13" s="523"/>
      <c r="AC13" s="523"/>
      <c r="AD13" s="523"/>
      <c r="AE13" s="523"/>
      <c r="AF13" s="523"/>
      <c r="AG13" s="523"/>
      <c r="AH13" s="523"/>
      <c r="AI13" s="523"/>
      <c r="AJ13" s="523"/>
      <c r="AK13" s="523"/>
      <c r="AL13" s="524">
        <f>'1.1 Structural changes (GC)'!B6</f>
        <v>0</v>
      </c>
      <c r="AM13" s="524">
        <f>'1.1 Structural changes (GC)'!C6</f>
        <v>0</v>
      </c>
      <c r="AN13" s="524" t="str">
        <f>'1.1 Structural changes (GC)'!A6</f>
        <v>Variable</v>
      </c>
      <c r="AO13" s="524" t="str">
        <f>'1.1 Structural changes (GC)'!D6</f>
        <v/>
      </c>
      <c r="AP13" s="439">
        <v>1001</v>
      </c>
      <c r="AQ13" s="439" t="str">
        <f>Settings!$A$1</f>
        <v>V2</v>
      </c>
    </row>
    <row r="14" spans="1:43" ht="12.75" customHeight="1" x14ac:dyDescent="0.2">
      <c r="A14" s="439">
        <f>'Input-FX Rates'!$C$4</f>
        <v>242</v>
      </c>
      <c r="B14" s="439" t="str">
        <f>'Input-FX Rates'!$B$4</f>
        <v>ICH Icheon (242)</v>
      </c>
      <c r="C14" s="439">
        <f>'Input-FX Rates'!$C$6</f>
        <v>750</v>
      </c>
      <c r="D14" s="439" t="str">
        <f>'Input-FX Rates'!$B$6</f>
        <v>750 BU Sensorics &amp; Controls</v>
      </c>
      <c r="E14" s="439" t="str">
        <f>'Input-FX Rates'!$C$5</f>
        <v>7521 &amp; 7522</v>
      </c>
      <c r="F14" s="439" t="str">
        <f>'Input-FX Rates'!$B$5</f>
        <v>7521 &amp; 7522 PL Mechatronic Sensors (&amp; Electrification)</v>
      </c>
      <c r="G14" s="439" t="s">
        <v>1411</v>
      </c>
      <c r="H14" s="439" t="s">
        <v>1412</v>
      </c>
      <c r="I14" s="523"/>
      <c r="J14" s="523"/>
      <c r="K14" s="523"/>
      <c r="L14" s="523"/>
      <c r="M14" s="523"/>
      <c r="N14" s="523"/>
      <c r="O14" s="523"/>
      <c r="P14" s="523"/>
      <c r="Q14" s="523"/>
      <c r="R14" s="523"/>
      <c r="S14" s="523"/>
      <c r="T14" s="523"/>
      <c r="U14" s="523"/>
      <c r="V14" s="523"/>
      <c r="W14" s="523"/>
      <c r="X14" s="523"/>
      <c r="Y14" s="523"/>
      <c r="Z14" s="523"/>
      <c r="AA14" s="523"/>
      <c r="AB14" s="523"/>
      <c r="AC14" s="523"/>
      <c r="AD14" s="523"/>
      <c r="AE14" s="523"/>
      <c r="AF14" s="523"/>
      <c r="AG14" s="523"/>
      <c r="AH14" s="523"/>
      <c r="AI14" s="523"/>
      <c r="AJ14" s="523"/>
      <c r="AK14" s="523"/>
      <c r="AL14" s="524">
        <f>'1.1 Structural changes (GC)'!B7</f>
        <v>0</v>
      </c>
      <c r="AM14" s="524">
        <f>'1.1 Structural changes (GC)'!C7</f>
        <v>0</v>
      </c>
      <c r="AN14" s="524" t="str">
        <f>'1.1 Structural changes (GC)'!A7</f>
        <v>Maintenance harmonization</v>
      </c>
      <c r="AO14" s="524" t="str">
        <f>'1.1 Structural changes (GC)'!D7</f>
        <v>Maintenance cost moved  from LDC to MDC(185K EUR)</v>
      </c>
      <c r="AP14" s="439">
        <v>1002</v>
      </c>
      <c r="AQ14" s="439" t="str">
        <f>Settings!$A$1</f>
        <v>V2</v>
      </c>
    </row>
    <row r="15" spans="1:43" ht="12.75" customHeight="1" x14ac:dyDescent="0.2">
      <c r="A15" s="439">
        <f>'Input-FX Rates'!$C$4</f>
        <v>242</v>
      </c>
      <c r="B15" s="439" t="str">
        <f>'Input-FX Rates'!$B$4</f>
        <v>ICH Icheon (242)</v>
      </c>
      <c r="C15" s="439">
        <f>'Input-FX Rates'!$C$6</f>
        <v>750</v>
      </c>
      <c r="D15" s="439" t="str">
        <f>'Input-FX Rates'!$B$6</f>
        <v>750 BU Sensorics &amp; Controls</v>
      </c>
      <c r="E15" s="439" t="str">
        <f>'Input-FX Rates'!$C$5</f>
        <v>7521 &amp; 7522</v>
      </c>
      <c r="F15" s="439" t="str">
        <f>'Input-FX Rates'!$B$5</f>
        <v>7521 &amp; 7522 PL Mechatronic Sensors (&amp; Electrification)</v>
      </c>
      <c r="G15" s="439" t="s">
        <v>1411</v>
      </c>
      <c r="H15" s="439" t="s">
        <v>224</v>
      </c>
      <c r="I15" s="523"/>
      <c r="J15" s="523"/>
      <c r="K15" s="523"/>
      <c r="L15" s="523"/>
      <c r="M15" s="523"/>
      <c r="N15" s="523"/>
      <c r="O15" s="523"/>
      <c r="P15" s="523"/>
      <c r="Q15" s="523"/>
      <c r="R15" s="523"/>
      <c r="S15" s="523"/>
      <c r="T15" s="523"/>
      <c r="U15" s="523"/>
      <c r="V15" s="523"/>
      <c r="W15" s="523"/>
      <c r="X15" s="523"/>
      <c r="Y15" s="523"/>
      <c r="Z15" s="523"/>
      <c r="AA15" s="523"/>
      <c r="AB15" s="523"/>
      <c r="AC15" s="523"/>
      <c r="AD15" s="523"/>
      <c r="AE15" s="523"/>
      <c r="AF15" s="523"/>
      <c r="AG15" s="523"/>
      <c r="AH15" s="523"/>
      <c r="AI15" s="523"/>
      <c r="AJ15" s="523"/>
      <c r="AK15" s="523"/>
      <c r="AL15" s="524">
        <f>'1.1 Structural changes (GC)'!B8</f>
        <v>0</v>
      </c>
      <c r="AM15" s="524">
        <f>'1.1 Structural changes (GC)'!C8</f>
        <v>0</v>
      </c>
      <c r="AN15" s="524" t="str">
        <f>'1.1 Structural changes (GC)'!A8</f>
        <v>Structural change 2</v>
      </c>
      <c r="AO15" s="524" t="str">
        <f>'1.1 Structural changes (GC)'!D8</f>
        <v/>
      </c>
      <c r="AP15" s="439">
        <v>1003</v>
      </c>
      <c r="AQ15" s="439" t="str">
        <f>Settings!$A$1</f>
        <v>V2</v>
      </c>
    </row>
    <row r="16" spans="1:43" ht="12.75" customHeight="1" x14ac:dyDescent="0.2">
      <c r="A16" s="439">
        <f>'Input-FX Rates'!$C$4</f>
        <v>242</v>
      </c>
      <c r="B16" s="439" t="str">
        <f>'Input-FX Rates'!$B$4</f>
        <v>ICH Icheon (242)</v>
      </c>
      <c r="C16" s="439">
        <f>'Input-FX Rates'!$C$6</f>
        <v>750</v>
      </c>
      <c r="D16" s="439" t="str">
        <f>'Input-FX Rates'!$B$6</f>
        <v>750 BU Sensorics &amp; Controls</v>
      </c>
      <c r="E16" s="439" t="str">
        <f>'Input-FX Rates'!$C$5</f>
        <v>7521 &amp; 7522</v>
      </c>
      <c r="F16" s="439" t="str">
        <f>'Input-FX Rates'!$B$5</f>
        <v>7521 &amp; 7522 PL Mechatronic Sensors (&amp; Electrification)</v>
      </c>
      <c r="G16" s="439" t="s">
        <v>1411</v>
      </c>
      <c r="H16" s="439" t="s">
        <v>226</v>
      </c>
      <c r="I16" s="523"/>
      <c r="J16" s="523"/>
      <c r="K16" s="523"/>
      <c r="L16" s="523"/>
      <c r="M16" s="523"/>
      <c r="N16" s="523"/>
      <c r="O16" s="523"/>
      <c r="P16" s="523"/>
      <c r="Q16" s="523"/>
      <c r="R16" s="523"/>
      <c r="S16" s="523"/>
      <c r="T16" s="523"/>
      <c r="U16" s="523"/>
      <c r="V16" s="523"/>
      <c r="W16" s="523"/>
      <c r="X16" s="523"/>
      <c r="Y16" s="523"/>
      <c r="Z16" s="523"/>
      <c r="AA16" s="523"/>
      <c r="AB16" s="523"/>
      <c r="AC16" s="523"/>
      <c r="AD16" s="523"/>
      <c r="AE16" s="523"/>
      <c r="AF16" s="523"/>
      <c r="AG16" s="523"/>
      <c r="AH16" s="523"/>
      <c r="AI16" s="523"/>
      <c r="AJ16" s="523"/>
      <c r="AK16" s="523"/>
      <c r="AL16" s="524">
        <f>'1.1 Structural changes (GC)'!B9</f>
        <v>0</v>
      </c>
      <c r="AM16" s="524">
        <f>'1.1 Structural changes (GC)'!C9</f>
        <v>0</v>
      </c>
      <c r="AN16" s="524" t="str">
        <f>'1.1 Structural changes (GC)'!A9</f>
        <v>Structural change 3</v>
      </c>
      <c r="AO16" s="524" t="str">
        <f>'1.1 Structural changes (GC)'!D9</f>
        <v/>
      </c>
      <c r="AP16" s="439">
        <v>1004</v>
      </c>
      <c r="AQ16" s="439" t="str">
        <f>Settings!$A$1</f>
        <v>V2</v>
      </c>
    </row>
    <row r="17" spans="1:43" ht="12.75" customHeight="1" x14ac:dyDescent="0.2">
      <c r="A17" s="439">
        <f>'Input-FX Rates'!$C$4</f>
        <v>242</v>
      </c>
      <c r="B17" s="439" t="str">
        <f>'Input-FX Rates'!$B$4</f>
        <v>ICH Icheon (242)</v>
      </c>
      <c r="C17" s="439">
        <f>'Input-FX Rates'!$C$6</f>
        <v>750</v>
      </c>
      <c r="D17" s="439" t="str">
        <f>'Input-FX Rates'!$B$6</f>
        <v>750 BU Sensorics &amp; Controls</v>
      </c>
      <c r="E17" s="439" t="str">
        <f>'Input-FX Rates'!$C$5</f>
        <v>7521 &amp; 7522</v>
      </c>
      <c r="F17" s="439" t="str">
        <f>'Input-FX Rates'!$B$5</f>
        <v>7521 &amp; 7522 PL Mechatronic Sensors (&amp; Electrification)</v>
      </c>
      <c r="G17" s="439" t="s">
        <v>1411</v>
      </c>
      <c r="H17" s="439" t="s">
        <v>227</v>
      </c>
      <c r="I17" s="523"/>
      <c r="J17" s="523"/>
      <c r="K17" s="523"/>
      <c r="L17" s="523"/>
      <c r="M17" s="523"/>
      <c r="N17" s="523"/>
      <c r="O17" s="523"/>
      <c r="P17" s="523"/>
      <c r="Q17" s="523"/>
      <c r="R17" s="523"/>
      <c r="S17" s="523"/>
      <c r="T17" s="523"/>
      <c r="U17" s="523"/>
      <c r="V17" s="523"/>
      <c r="W17" s="523"/>
      <c r="X17" s="523"/>
      <c r="Y17" s="523"/>
      <c r="Z17" s="523"/>
      <c r="AA17" s="523"/>
      <c r="AB17" s="523"/>
      <c r="AC17" s="523"/>
      <c r="AD17" s="523"/>
      <c r="AE17" s="523"/>
      <c r="AF17" s="523"/>
      <c r="AG17" s="523"/>
      <c r="AH17" s="523"/>
      <c r="AI17" s="523"/>
      <c r="AJ17" s="523"/>
      <c r="AK17" s="523"/>
      <c r="AL17" s="524">
        <f>'1.1 Structural changes (GC)'!B10</f>
        <v>0</v>
      </c>
      <c r="AM17" s="524">
        <f>'1.1 Structural changes (GC)'!C10</f>
        <v>0</v>
      </c>
      <c r="AN17" s="524" t="str">
        <f>'1.1 Structural changes (GC)'!A10</f>
        <v>Structural change 4</v>
      </c>
      <c r="AO17" s="524" t="str">
        <f>'1.1 Structural changes (GC)'!D10</f>
        <v/>
      </c>
      <c r="AP17" s="439">
        <v>1005</v>
      </c>
      <c r="AQ17" s="439" t="str">
        <f>Settings!$A$1</f>
        <v>V2</v>
      </c>
    </row>
    <row r="18" spans="1:43" ht="12.75" customHeight="1" x14ac:dyDescent="0.2">
      <c r="A18" s="439">
        <f>'Input-FX Rates'!$C$4</f>
        <v>242</v>
      </c>
      <c r="B18" s="439" t="str">
        <f>'Input-FX Rates'!$B$4</f>
        <v>ICH Icheon (242)</v>
      </c>
      <c r="C18" s="439">
        <f>'Input-FX Rates'!$C$6</f>
        <v>750</v>
      </c>
      <c r="D18" s="439" t="str">
        <f>'Input-FX Rates'!$B$6</f>
        <v>750 BU Sensorics &amp; Controls</v>
      </c>
      <c r="E18" s="439" t="str">
        <f>'Input-FX Rates'!$C$5</f>
        <v>7521 &amp; 7522</v>
      </c>
      <c r="F18" s="439" t="str">
        <f>'Input-FX Rates'!$B$5</f>
        <v>7521 &amp; 7522 PL Mechatronic Sensors (&amp; Electrification)</v>
      </c>
      <c r="G18" s="439" t="s">
        <v>1411</v>
      </c>
      <c r="H18" s="439" t="s">
        <v>229</v>
      </c>
      <c r="I18" s="523"/>
      <c r="J18" s="523"/>
      <c r="K18" s="523"/>
      <c r="L18" s="523"/>
      <c r="M18" s="523"/>
      <c r="N18" s="523"/>
      <c r="O18" s="523"/>
      <c r="P18" s="523"/>
      <c r="Q18" s="523"/>
      <c r="R18" s="523"/>
      <c r="S18" s="523"/>
      <c r="T18" s="523"/>
      <c r="U18" s="523"/>
      <c r="V18" s="523"/>
      <c r="W18" s="523"/>
      <c r="X18" s="523"/>
      <c r="Y18" s="523"/>
      <c r="Z18" s="523"/>
      <c r="AA18" s="523"/>
      <c r="AB18" s="523"/>
      <c r="AC18" s="523"/>
      <c r="AD18" s="523"/>
      <c r="AE18" s="523"/>
      <c r="AF18" s="523"/>
      <c r="AG18" s="523"/>
      <c r="AH18" s="523"/>
      <c r="AI18" s="523"/>
      <c r="AJ18" s="523"/>
      <c r="AK18" s="523"/>
      <c r="AL18" s="524">
        <f>'1.1 Structural changes (GC)'!B11</f>
        <v>0</v>
      </c>
      <c r="AM18" s="524">
        <f>'1.1 Structural changes (GC)'!C11</f>
        <v>0</v>
      </c>
      <c r="AN18" s="524" t="str">
        <f>'1.1 Structural changes (GC)'!A11</f>
        <v>Structural change 5</v>
      </c>
      <c r="AO18" s="524" t="str">
        <f>'1.1 Structural changes (GC)'!D11</f>
        <v/>
      </c>
      <c r="AP18" s="439">
        <v>1006</v>
      </c>
      <c r="AQ18" s="439" t="str">
        <f>Settings!$A$1</f>
        <v>V2</v>
      </c>
    </row>
    <row r="19" spans="1:43" ht="12.75" customHeight="1" x14ac:dyDescent="0.2">
      <c r="A19" s="439">
        <f>'Input-FX Rates'!$C$4</f>
        <v>242</v>
      </c>
      <c r="B19" s="439" t="str">
        <f>'Input-FX Rates'!$B$4</f>
        <v>ICH Icheon (242)</v>
      </c>
      <c r="C19" s="439">
        <f>'Input-FX Rates'!$C$6</f>
        <v>750</v>
      </c>
      <c r="D19" s="439" t="str">
        <f>'Input-FX Rates'!$B$6</f>
        <v>750 BU Sensorics &amp; Controls</v>
      </c>
      <c r="E19" s="439" t="str">
        <f>'Input-FX Rates'!$C$5</f>
        <v>7521 &amp; 7522</v>
      </c>
      <c r="F19" s="439" t="str">
        <f>'Input-FX Rates'!$B$5</f>
        <v>7521 &amp; 7522 PL Mechatronic Sensors (&amp; Electrification)</v>
      </c>
      <c r="G19" s="439" t="s">
        <v>1411</v>
      </c>
      <c r="H19" s="439" t="s">
        <v>231</v>
      </c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V19" s="523"/>
      <c r="W19" s="523"/>
      <c r="X19" s="523"/>
      <c r="Y19" s="523"/>
      <c r="Z19" s="523"/>
      <c r="AA19" s="523"/>
      <c r="AB19" s="523"/>
      <c r="AC19" s="523"/>
      <c r="AD19" s="523"/>
      <c r="AE19" s="523"/>
      <c r="AF19" s="523"/>
      <c r="AG19" s="523"/>
      <c r="AH19" s="523"/>
      <c r="AI19" s="523"/>
      <c r="AJ19" s="523"/>
      <c r="AK19" s="523"/>
      <c r="AL19" s="524">
        <f>'1.1 Structural changes (GC)'!B12</f>
        <v>0</v>
      </c>
      <c r="AM19" s="524">
        <f>'1.1 Structural changes (GC)'!C12</f>
        <v>0</v>
      </c>
      <c r="AN19" s="524" t="str">
        <f>'1.1 Structural changes (GC)'!A12</f>
        <v>Structural change 6</v>
      </c>
      <c r="AO19" s="524" t="str">
        <f>'1.1 Structural changes (GC)'!D12</f>
        <v/>
      </c>
      <c r="AP19" s="439">
        <v>1007</v>
      </c>
      <c r="AQ19" s="439" t="str">
        <f>Settings!$A$1</f>
        <v>V2</v>
      </c>
    </row>
    <row r="20" spans="1:43" ht="12.75" customHeight="1" x14ac:dyDescent="0.2">
      <c r="A20" s="439">
        <f>'Input-FX Rates'!$C$4</f>
        <v>242</v>
      </c>
      <c r="B20" s="439" t="str">
        <f>'Input-FX Rates'!$B$4</f>
        <v>ICH Icheon (242)</v>
      </c>
      <c r="C20" s="439">
        <f>'Input-FX Rates'!$C$6</f>
        <v>750</v>
      </c>
      <c r="D20" s="439" t="str">
        <f>'Input-FX Rates'!$B$6</f>
        <v>750 BU Sensorics &amp; Controls</v>
      </c>
      <c r="E20" s="439" t="str">
        <f>'Input-FX Rates'!$C$5</f>
        <v>7521 &amp; 7522</v>
      </c>
      <c r="F20" s="439" t="str">
        <f>'Input-FX Rates'!$B$5</f>
        <v>7521 &amp; 7522 PL Mechatronic Sensors (&amp; Electrification)</v>
      </c>
      <c r="G20" s="439" t="s">
        <v>1411</v>
      </c>
      <c r="H20" s="439" t="s">
        <v>232</v>
      </c>
      <c r="I20" s="523"/>
      <c r="J20" s="523"/>
      <c r="K20" s="523"/>
      <c r="L20" s="523"/>
      <c r="M20" s="523"/>
      <c r="N20" s="523"/>
      <c r="O20" s="523"/>
      <c r="P20" s="523"/>
      <c r="Q20" s="523"/>
      <c r="R20" s="523"/>
      <c r="S20" s="523"/>
      <c r="T20" s="523"/>
      <c r="U20" s="523"/>
      <c r="V20" s="523"/>
      <c r="W20" s="523"/>
      <c r="X20" s="523"/>
      <c r="Y20" s="523"/>
      <c r="Z20" s="523"/>
      <c r="AA20" s="523"/>
      <c r="AB20" s="523"/>
      <c r="AC20" s="523"/>
      <c r="AD20" s="523"/>
      <c r="AE20" s="523"/>
      <c r="AF20" s="523"/>
      <c r="AG20" s="523"/>
      <c r="AH20" s="523"/>
      <c r="AI20" s="523"/>
      <c r="AJ20" s="523"/>
      <c r="AK20" s="523"/>
      <c r="AL20" s="524">
        <f>'1.1 Structural changes (GC)'!B13</f>
        <v>0</v>
      </c>
      <c r="AM20" s="524">
        <f>'1.1 Structural changes (GC)'!C13</f>
        <v>0</v>
      </c>
      <c r="AN20" s="524" t="str">
        <f>'1.1 Structural changes (GC)'!A13</f>
        <v>Structural change 7</v>
      </c>
      <c r="AO20" s="524" t="str">
        <f>'1.1 Structural changes (GC)'!D13</f>
        <v/>
      </c>
      <c r="AP20" s="439">
        <v>1008</v>
      </c>
      <c r="AQ20" s="439" t="str">
        <f>Settings!$A$1</f>
        <v>V2</v>
      </c>
    </row>
    <row r="21" spans="1:43" ht="12.75" customHeight="1" x14ac:dyDescent="0.2">
      <c r="A21" s="439">
        <f>'Input-FX Rates'!$C$4</f>
        <v>242</v>
      </c>
      <c r="B21" s="439" t="str">
        <f>'Input-FX Rates'!$B$4</f>
        <v>ICH Icheon (242)</v>
      </c>
      <c r="C21" s="439">
        <f>'Input-FX Rates'!$C$6</f>
        <v>750</v>
      </c>
      <c r="D21" s="439" t="str">
        <f>'Input-FX Rates'!$B$6</f>
        <v>750 BU Sensorics &amp; Controls</v>
      </c>
      <c r="E21" s="439" t="str">
        <f>'Input-FX Rates'!$C$5</f>
        <v>7521 &amp; 7522</v>
      </c>
      <c r="F21" s="439" t="str">
        <f>'Input-FX Rates'!$B$5</f>
        <v>7521 &amp; 7522 PL Mechatronic Sensors (&amp; Electrification)</v>
      </c>
      <c r="G21" s="439" t="s">
        <v>1411</v>
      </c>
      <c r="H21" s="439" t="s">
        <v>233</v>
      </c>
      <c r="I21" s="523"/>
      <c r="J21" s="523"/>
      <c r="K21" s="523"/>
      <c r="L21" s="523"/>
      <c r="M21" s="523"/>
      <c r="N21" s="523"/>
      <c r="O21" s="523"/>
      <c r="P21" s="523"/>
      <c r="Q21" s="523"/>
      <c r="R21" s="523"/>
      <c r="S21" s="523"/>
      <c r="T21" s="523"/>
      <c r="U21" s="523"/>
      <c r="V21" s="523"/>
      <c r="W21" s="523"/>
      <c r="X21" s="523"/>
      <c r="Y21" s="523"/>
      <c r="Z21" s="523"/>
      <c r="AA21" s="523"/>
      <c r="AB21" s="523"/>
      <c r="AC21" s="523"/>
      <c r="AD21" s="523"/>
      <c r="AE21" s="523"/>
      <c r="AF21" s="523"/>
      <c r="AG21" s="523"/>
      <c r="AH21" s="523"/>
      <c r="AI21" s="523"/>
      <c r="AJ21" s="523"/>
      <c r="AK21" s="523"/>
      <c r="AL21" s="524">
        <f>'1.1 Structural changes (GC)'!B14</f>
        <v>0</v>
      </c>
      <c r="AM21" s="524">
        <f>'1.1 Structural changes (GC)'!C14</f>
        <v>0</v>
      </c>
      <c r="AN21" s="524" t="str">
        <f>'1.1 Structural changes (GC)'!A14</f>
        <v>Structural change 8</v>
      </c>
      <c r="AO21" s="524" t="str">
        <f>'1.1 Structural changes (GC)'!D14</f>
        <v/>
      </c>
      <c r="AP21" s="439">
        <v>1009</v>
      </c>
      <c r="AQ21" s="439" t="str">
        <f>Settings!$A$1</f>
        <v>V2</v>
      </c>
    </row>
    <row r="22" spans="1:43" ht="12.75" customHeight="1" x14ac:dyDescent="0.2">
      <c r="A22" s="439">
        <f>'Input-FX Rates'!$C$4</f>
        <v>242</v>
      </c>
      <c r="B22" s="439" t="str">
        <f>'Input-FX Rates'!$B$4</f>
        <v>ICH Icheon (242)</v>
      </c>
      <c r="C22" s="439">
        <f>'Input-FX Rates'!$C$6</f>
        <v>750</v>
      </c>
      <c r="D22" s="439" t="str">
        <f>'Input-FX Rates'!$B$6</f>
        <v>750 BU Sensorics &amp; Controls</v>
      </c>
      <c r="E22" s="439" t="str">
        <f>'Input-FX Rates'!$C$5</f>
        <v>7521 &amp; 7522</v>
      </c>
      <c r="F22" s="439" t="str">
        <f>'Input-FX Rates'!$B$5</f>
        <v>7521 &amp; 7522 PL Mechatronic Sensors (&amp; Electrification)</v>
      </c>
      <c r="G22" s="439" t="s">
        <v>1411</v>
      </c>
      <c r="H22" s="439" t="s">
        <v>235</v>
      </c>
      <c r="I22" s="523"/>
      <c r="J22" s="523"/>
      <c r="K22" s="523"/>
      <c r="L22" s="523"/>
      <c r="M22" s="523"/>
      <c r="N22" s="523"/>
      <c r="O22" s="523"/>
      <c r="P22" s="523"/>
      <c r="Q22" s="523"/>
      <c r="R22" s="523"/>
      <c r="S22" s="523"/>
      <c r="T22" s="523"/>
      <c r="U22" s="523"/>
      <c r="V22" s="523"/>
      <c r="W22" s="523"/>
      <c r="X22" s="523"/>
      <c r="Y22" s="523"/>
      <c r="Z22" s="523"/>
      <c r="AA22" s="523"/>
      <c r="AB22" s="523"/>
      <c r="AC22" s="523"/>
      <c r="AD22" s="523"/>
      <c r="AE22" s="523"/>
      <c r="AF22" s="523"/>
      <c r="AG22" s="523"/>
      <c r="AH22" s="523"/>
      <c r="AI22" s="523"/>
      <c r="AJ22" s="523"/>
      <c r="AK22" s="523"/>
      <c r="AL22" s="524">
        <f>'1.1 Structural changes (GC)'!B15</f>
        <v>0</v>
      </c>
      <c r="AM22" s="524">
        <f>'1.1 Structural changes (GC)'!C15</f>
        <v>0</v>
      </c>
      <c r="AN22" s="524" t="str">
        <f>'1.1 Structural changes (GC)'!A15</f>
        <v>Structural change 9</v>
      </c>
      <c r="AO22" s="524" t="str">
        <f>'1.1 Structural changes (GC)'!D15</f>
        <v/>
      </c>
      <c r="AP22" s="439">
        <v>1010</v>
      </c>
      <c r="AQ22" s="439" t="str">
        <f>Settings!$A$1</f>
        <v>V2</v>
      </c>
    </row>
    <row r="23" spans="1:43" ht="12.75" customHeight="1" x14ac:dyDescent="0.2">
      <c r="A23" s="439">
        <f>'Input-FX Rates'!$C$4</f>
        <v>242</v>
      </c>
      <c r="B23" s="439" t="str">
        <f>'Input-FX Rates'!$B$4</f>
        <v>ICH Icheon (242)</v>
      </c>
      <c r="C23" s="439">
        <f>'Input-FX Rates'!$C$6</f>
        <v>750</v>
      </c>
      <c r="D23" s="439" t="str">
        <f>'Input-FX Rates'!$B$6</f>
        <v>750 BU Sensorics &amp; Controls</v>
      </c>
      <c r="E23" s="439" t="str">
        <f>'Input-FX Rates'!$C$5</f>
        <v>7521 &amp; 7522</v>
      </c>
      <c r="F23" s="439" t="str">
        <f>'Input-FX Rates'!$B$5</f>
        <v>7521 &amp; 7522 PL Mechatronic Sensors (&amp; Electrification)</v>
      </c>
      <c r="G23" s="439" t="s">
        <v>1411</v>
      </c>
      <c r="H23" s="439" t="s">
        <v>236</v>
      </c>
      <c r="I23" s="523"/>
      <c r="J23" s="523"/>
      <c r="K23" s="523"/>
      <c r="L23" s="523"/>
      <c r="M23" s="523"/>
      <c r="N23" s="523"/>
      <c r="O23" s="523"/>
      <c r="P23" s="523"/>
      <c r="Q23" s="523"/>
      <c r="R23" s="523"/>
      <c r="S23" s="523"/>
      <c r="T23" s="523"/>
      <c r="U23" s="523"/>
      <c r="V23" s="523"/>
      <c r="W23" s="523"/>
      <c r="X23" s="523"/>
      <c r="Y23" s="523"/>
      <c r="Z23" s="523"/>
      <c r="AA23" s="523"/>
      <c r="AB23" s="523"/>
      <c r="AC23" s="523"/>
      <c r="AD23" s="523"/>
      <c r="AE23" s="523"/>
      <c r="AF23" s="523"/>
      <c r="AG23" s="523"/>
      <c r="AH23" s="523"/>
      <c r="AI23" s="523"/>
      <c r="AJ23" s="523"/>
      <c r="AK23" s="523"/>
      <c r="AL23" s="524">
        <f>'1.1 Structural changes (GC)'!B16</f>
        <v>0</v>
      </c>
      <c r="AM23" s="524">
        <f>'1.1 Structural changes (GC)'!C16</f>
        <v>0</v>
      </c>
      <c r="AN23" s="524" t="str">
        <f>'1.1 Structural changes (GC)'!A16</f>
        <v>Structural change 10</v>
      </c>
      <c r="AO23" s="524" t="str">
        <f>'1.1 Structural changes (GC)'!D16</f>
        <v/>
      </c>
      <c r="AP23" s="439">
        <v>1011</v>
      </c>
      <c r="AQ23" s="439" t="str">
        <f>Settings!$A$1</f>
        <v>V2</v>
      </c>
    </row>
    <row r="24" spans="1:43" ht="12.75" customHeight="1" x14ac:dyDescent="0.2">
      <c r="A24" s="439">
        <f>'Input-FX Rates'!$C$4</f>
        <v>242</v>
      </c>
      <c r="B24" s="439" t="str">
        <f>'Input-FX Rates'!$B$4</f>
        <v>ICH Icheon (242)</v>
      </c>
      <c r="C24" s="439">
        <f>'Input-FX Rates'!$C$6</f>
        <v>750</v>
      </c>
      <c r="D24" s="439" t="str">
        <f>'Input-FX Rates'!$B$6</f>
        <v>750 BU Sensorics &amp; Controls</v>
      </c>
      <c r="E24" s="439" t="str">
        <f>'Input-FX Rates'!$C$5</f>
        <v>7521 &amp; 7522</v>
      </c>
      <c r="F24" s="439" t="str">
        <f>'Input-FX Rates'!$B$5</f>
        <v>7521 &amp; 7522 PL Mechatronic Sensors (&amp; Electrification)</v>
      </c>
      <c r="G24" s="439" t="s">
        <v>1411</v>
      </c>
      <c r="H24" s="439" t="s">
        <v>237</v>
      </c>
      <c r="I24" s="523"/>
      <c r="J24" s="523"/>
      <c r="K24" s="523"/>
      <c r="L24" s="523"/>
      <c r="M24" s="523"/>
      <c r="N24" s="523"/>
      <c r="O24" s="523"/>
      <c r="P24" s="523"/>
      <c r="Q24" s="523"/>
      <c r="R24" s="523"/>
      <c r="S24" s="523"/>
      <c r="T24" s="523"/>
      <c r="U24" s="523"/>
      <c r="V24" s="523"/>
      <c r="W24" s="523"/>
      <c r="X24" s="523"/>
      <c r="Y24" s="523"/>
      <c r="Z24" s="523"/>
      <c r="AA24" s="523"/>
      <c r="AB24" s="523"/>
      <c r="AC24" s="523"/>
      <c r="AD24" s="523"/>
      <c r="AE24" s="523"/>
      <c r="AF24" s="523"/>
      <c r="AG24" s="523"/>
      <c r="AH24" s="523"/>
      <c r="AI24" s="523"/>
      <c r="AJ24" s="523"/>
      <c r="AK24" s="523"/>
      <c r="AL24" s="524">
        <f>'1.1 Structural changes (GC)'!B17</f>
        <v>0</v>
      </c>
      <c r="AM24" s="524">
        <f>'1.1 Structural changes (GC)'!C17</f>
        <v>0</v>
      </c>
      <c r="AN24" s="524" t="str">
        <f>'1.1 Structural changes (GC)'!A17</f>
        <v>Fix</v>
      </c>
      <c r="AO24" s="524" t="str">
        <f>'1.1 Structural changes (GC)'!D17</f>
        <v/>
      </c>
      <c r="AP24" s="439">
        <v>1012</v>
      </c>
      <c r="AQ24" s="439" t="str">
        <f>Settings!$A$1</f>
        <v>V2</v>
      </c>
    </row>
    <row r="25" spans="1:43" ht="12.75" customHeight="1" x14ac:dyDescent="0.2">
      <c r="A25" s="439">
        <f>'Input-FX Rates'!$C$4</f>
        <v>242</v>
      </c>
      <c r="B25" s="439" t="str">
        <f>'Input-FX Rates'!$B$4</f>
        <v>ICH Icheon (242)</v>
      </c>
      <c r="C25" s="439">
        <f>'Input-FX Rates'!$C$6</f>
        <v>750</v>
      </c>
      <c r="D25" s="439" t="str">
        <f>'Input-FX Rates'!$B$6</f>
        <v>750 BU Sensorics &amp; Controls</v>
      </c>
      <c r="E25" s="439" t="str">
        <f>'Input-FX Rates'!$C$5</f>
        <v>7521 &amp; 7522</v>
      </c>
      <c r="F25" s="439" t="str">
        <f>'Input-FX Rates'!$B$5</f>
        <v>7521 &amp; 7522 PL Mechatronic Sensors (&amp; Electrification)</v>
      </c>
      <c r="G25" s="439" t="s">
        <v>1411</v>
      </c>
      <c r="H25" s="439" t="s">
        <v>221</v>
      </c>
      <c r="I25" s="523"/>
      <c r="J25" s="523"/>
      <c r="K25" s="523"/>
      <c r="L25" s="523"/>
      <c r="M25" s="523"/>
      <c r="N25" s="523"/>
      <c r="O25" s="523"/>
      <c r="P25" s="523"/>
      <c r="Q25" s="523"/>
      <c r="R25" s="523"/>
      <c r="S25" s="523"/>
      <c r="T25" s="523"/>
      <c r="U25" s="523"/>
      <c r="V25" s="523"/>
      <c r="W25" s="523"/>
      <c r="X25" s="523"/>
      <c r="Y25" s="523"/>
      <c r="Z25" s="523"/>
      <c r="AA25" s="523"/>
      <c r="AB25" s="523"/>
      <c r="AC25" s="523"/>
      <c r="AD25" s="523"/>
      <c r="AE25" s="523"/>
      <c r="AF25" s="523"/>
      <c r="AG25" s="523"/>
      <c r="AH25" s="523"/>
      <c r="AI25" s="523"/>
      <c r="AJ25" s="523"/>
      <c r="AK25" s="523"/>
      <c r="AL25" s="524">
        <f>'1.1 Structural changes (GC)'!B18</f>
        <v>0</v>
      </c>
      <c r="AM25" s="524">
        <f>'1.1 Structural changes (GC)'!C18</f>
        <v>0</v>
      </c>
      <c r="AN25" s="524" t="str">
        <f>'1.1 Structural changes (GC)'!A18</f>
        <v>Structural change 1</v>
      </c>
      <c r="AO25" s="524" t="str">
        <f>'1.1 Structural changes (GC)'!D18</f>
        <v/>
      </c>
      <c r="AP25" s="439">
        <v>1013</v>
      </c>
      <c r="AQ25" s="439" t="str">
        <f>Settings!$A$1</f>
        <v>V2</v>
      </c>
    </row>
    <row r="26" spans="1:43" ht="12.75" customHeight="1" x14ac:dyDescent="0.2">
      <c r="A26" s="439">
        <f>'Input-FX Rates'!$C$4</f>
        <v>242</v>
      </c>
      <c r="B26" s="439" t="str">
        <f>'Input-FX Rates'!$B$4</f>
        <v>ICH Icheon (242)</v>
      </c>
      <c r="C26" s="439">
        <f>'Input-FX Rates'!$C$6</f>
        <v>750</v>
      </c>
      <c r="D26" s="439" t="str">
        <f>'Input-FX Rates'!$B$6</f>
        <v>750 BU Sensorics &amp; Controls</v>
      </c>
      <c r="E26" s="439" t="str">
        <f>'Input-FX Rates'!$C$5</f>
        <v>7521 &amp; 7522</v>
      </c>
      <c r="F26" s="439" t="str">
        <f>'Input-FX Rates'!$B$5</f>
        <v>7521 &amp; 7522 PL Mechatronic Sensors (&amp; Electrification)</v>
      </c>
      <c r="G26" s="439" t="s">
        <v>1411</v>
      </c>
      <c r="H26" s="439" t="s">
        <v>1412</v>
      </c>
      <c r="I26" s="523"/>
      <c r="J26" s="523"/>
      <c r="K26" s="523"/>
      <c r="L26" s="523"/>
      <c r="M26" s="523"/>
      <c r="N26" s="523"/>
      <c r="O26" s="523"/>
      <c r="P26" s="523"/>
      <c r="Q26" s="523"/>
      <c r="R26" s="523"/>
      <c r="S26" s="523"/>
      <c r="T26" s="523"/>
      <c r="U26" s="523"/>
      <c r="V26" s="523"/>
      <c r="W26" s="523"/>
      <c r="X26" s="523"/>
      <c r="Y26" s="523"/>
      <c r="Z26" s="523"/>
      <c r="AA26" s="523"/>
      <c r="AB26" s="523"/>
      <c r="AC26" s="523"/>
      <c r="AD26" s="523"/>
      <c r="AE26" s="523"/>
      <c r="AF26" s="523"/>
      <c r="AG26" s="523"/>
      <c r="AH26" s="523"/>
      <c r="AI26" s="523"/>
      <c r="AJ26" s="523"/>
      <c r="AK26" s="523"/>
      <c r="AL26" s="524">
        <f>'1.1 Structural changes (GC)'!B19</f>
        <v>0</v>
      </c>
      <c r="AM26" s="524">
        <f>'1.1 Structural changes (GC)'!C19</f>
        <v>0</v>
      </c>
      <c r="AN26" s="524" t="str">
        <f>'1.1 Structural changes (GC)'!A19</f>
        <v>Structural change 2</v>
      </c>
      <c r="AO26" s="524" t="str">
        <f>'1.1 Structural changes (GC)'!D19</f>
        <v/>
      </c>
      <c r="AP26" s="439">
        <v>1014</v>
      </c>
      <c r="AQ26" s="439" t="str">
        <f>Settings!$A$1</f>
        <v>V2</v>
      </c>
    </row>
    <row r="27" spans="1:43" ht="12.75" customHeight="1" x14ac:dyDescent="0.2">
      <c r="A27" s="439">
        <f>'Input-FX Rates'!$C$4</f>
        <v>242</v>
      </c>
      <c r="B27" s="439" t="str">
        <f>'Input-FX Rates'!$B$4</f>
        <v>ICH Icheon (242)</v>
      </c>
      <c r="C27" s="439">
        <f>'Input-FX Rates'!$C$6</f>
        <v>750</v>
      </c>
      <c r="D27" s="439" t="str">
        <f>'Input-FX Rates'!$B$6</f>
        <v>750 BU Sensorics &amp; Controls</v>
      </c>
      <c r="E27" s="439" t="str">
        <f>'Input-FX Rates'!$C$5</f>
        <v>7521 &amp; 7522</v>
      </c>
      <c r="F27" s="439" t="str">
        <f>'Input-FX Rates'!$B$5</f>
        <v>7521 &amp; 7522 PL Mechatronic Sensors (&amp; Electrification)</v>
      </c>
      <c r="G27" s="439" t="s">
        <v>1411</v>
      </c>
      <c r="H27" s="439" t="s">
        <v>226</v>
      </c>
      <c r="I27" s="523"/>
      <c r="J27" s="523"/>
      <c r="K27" s="523"/>
      <c r="L27" s="523"/>
      <c r="M27" s="523"/>
      <c r="N27" s="523"/>
      <c r="O27" s="523"/>
      <c r="P27" s="523"/>
      <c r="Q27" s="523"/>
      <c r="R27" s="523"/>
      <c r="S27" s="523"/>
      <c r="T27" s="523"/>
      <c r="U27" s="523"/>
      <c r="V27" s="523"/>
      <c r="W27" s="523"/>
      <c r="X27" s="523"/>
      <c r="Y27" s="523"/>
      <c r="Z27" s="523"/>
      <c r="AA27" s="523"/>
      <c r="AB27" s="523"/>
      <c r="AC27" s="523"/>
      <c r="AD27" s="523"/>
      <c r="AE27" s="523"/>
      <c r="AF27" s="523"/>
      <c r="AG27" s="523"/>
      <c r="AH27" s="523"/>
      <c r="AI27" s="523"/>
      <c r="AJ27" s="523"/>
      <c r="AK27" s="523"/>
      <c r="AL27" s="524">
        <f>'1.1 Structural changes (GC)'!B20</f>
        <v>0</v>
      </c>
      <c r="AM27" s="524">
        <f>'1.1 Structural changes (GC)'!C20</f>
        <v>0</v>
      </c>
      <c r="AN27" s="524" t="str">
        <f>'1.1 Structural changes (GC)'!A20</f>
        <v>Structural change 3</v>
      </c>
      <c r="AO27" s="524" t="str">
        <f>'1.1 Structural changes (GC)'!D20</f>
        <v/>
      </c>
      <c r="AP27" s="439">
        <v>1015</v>
      </c>
      <c r="AQ27" s="439" t="str">
        <f>Settings!$A$1</f>
        <v>V2</v>
      </c>
    </row>
    <row r="28" spans="1:43" ht="12.75" customHeight="1" x14ac:dyDescent="0.2">
      <c r="A28" s="439">
        <f>'Input-FX Rates'!$C$4</f>
        <v>242</v>
      </c>
      <c r="B28" s="439" t="str">
        <f>'Input-FX Rates'!$B$4</f>
        <v>ICH Icheon (242)</v>
      </c>
      <c r="C28" s="439">
        <f>'Input-FX Rates'!$C$6</f>
        <v>750</v>
      </c>
      <c r="D28" s="439" t="str">
        <f>'Input-FX Rates'!$B$6</f>
        <v>750 BU Sensorics &amp; Controls</v>
      </c>
      <c r="E28" s="439" t="str">
        <f>'Input-FX Rates'!$C$5</f>
        <v>7521 &amp; 7522</v>
      </c>
      <c r="F28" s="439" t="str">
        <f>'Input-FX Rates'!$B$5</f>
        <v>7521 &amp; 7522 PL Mechatronic Sensors (&amp; Electrification)</v>
      </c>
      <c r="G28" s="439" t="s">
        <v>1411</v>
      </c>
      <c r="H28" s="439" t="s">
        <v>227</v>
      </c>
      <c r="I28" s="523"/>
      <c r="J28" s="523"/>
      <c r="K28" s="523"/>
      <c r="L28" s="523"/>
      <c r="M28" s="523"/>
      <c r="N28" s="523"/>
      <c r="O28" s="523"/>
      <c r="P28" s="523"/>
      <c r="Q28" s="523"/>
      <c r="R28" s="523"/>
      <c r="S28" s="523"/>
      <c r="T28" s="523"/>
      <c r="U28" s="523"/>
      <c r="V28" s="523"/>
      <c r="W28" s="523"/>
      <c r="X28" s="523"/>
      <c r="Y28" s="523"/>
      <c r="Z28" s="523"/>
      <c r="AA28" s="523"/>
      <c r="AB28" s="523"/>
      <c r="AC28" s="523"/>
      <c r="AD28" s="523"/>
      <c r="AE28" s="523"/>
      <c r="AF28" s="523"/>
      <c r="AG28" s="523"/>
      <c r="AH28" s="523"/>
      <c r="AI28" s="523"/>
      <c r="AJ28" s="523"/>
      <c r="AK28" s="523"/>
      <c r="AL28" s="524">
        <f>'1.1 Structural changes (GC)'!B21</f>
        <v>0</v>
      </c>
      <c r="AM28" s="524">
        <f>'1.1 Structural changes (GC)'!C21</f>
        <v>0</v>
      </c>
      <c r="AN28" s="524" t="str">
        <f>'1.1 Structural changes (GC)'!A21</f>
        <v>Structural change 4</v>
      </c>
      <c r="AO28" s="524" t="str">
        <f>'1.1 Structural changes (GC)'!D21</f>
        <v/>
      </c>
      <c r="AP28" s="439">
        <v>1016</v>
      </c>
      <c r="AQ28" s="439" t="str">
        <f>Settings!$A$1</f>
        <v>V2</v>
      </c>
    </row>
    <row r="29" spans="1:43" ht="12.75" customHeight="1" x14ac:dyDescent="0.2">
      <c r="A29" s="439">
        <f>'Input-FX Rates'!$C$4</f>
        <v>242</v>
      </c>
      <c r="B29" s="439" t="str">
        <f>'Input-FX Rates'!$B$4</f>
        <v>ICH Icheon (242)</v>
      </c>
      <c r="C29" s="439">
        <f>'Input-FX Rates'!$C$6</f>
        <v>750</v>
      </c>
      <c r="D29" s="439" t="str">
        <f>'Input-FX Rates'!$B$6</f>
        <v>750 BU Sensorics &amp; Controls</v>
      </c>
      <c r="E29" s="439" t="str">
        <f>'Input-FX Rates'!$C$5</f>
        <v>7521 &amp; 7522</v>
      </c>
      <c r="F29" s="439" t="str">
        <f>'Input-FX Rates'!$B$5</f>
        <v>7521 &amp; 7522 PL Mechatronic Sensors (&amp; Electrification)</v>
      </c>
      <c r="G29" s="439" t="s">
        <v>1411</v>
      </c>
      <c r="H29" s="439" t="s">
        <v>229</v>
      </c>
      <c r="I29" s="523"/>
      <c r="J29" s="523"/>
      <c r="K29" s="523"/>
      <c r="L29" s="523"/>
      <c r="M29" s="523"/>
      <c r="N29" s="523"/>
      <c r="O29" s="523"/>
      <c r="P29" s="523"/>
      <c r="Q29" s="523"/>
      <c r="R29" s="523"/>
      <c r="S29" s="523"/>
      <c r="T29" s="523"/>
      <c r="U29" s="523"/>
      <c r="V29" s="523"/>
      <c r="W29" s="523"/>
      <c r="X29" s="523"/>
      <c r="Y29" s="523"/>
      <c r="Z29" s="523"/>
      <c r="AA29" s="523"/>
      <c r="AB29" s="523"/>
      <c r="AC29" s="523"/>
      <c r="AD29" s="523"/>
      <c r="AE29" s="523"/>
      <c r="AF29" s="523"/>
      <c r="AG29" s="523"/>
      <c r="AH29" s="523"/>
      <c r="AI29" s="523"/>
      <c r="AJ29" s="523"/>
      <c r="AK29" s="523"/>
      <c r="AL29" s="524">
        <f>'1.1 Structural changes (GC)'!B22</f>
        <v>0</v>
      </c>
      <c r="AM29" s="524">
        <f>'1.1 Structural changes (GC)'!C22</f>
        <v>0</v>
      </c>
      <c r="AN29" s="524" t="str">
        <f>'1.1 Structural changes (GC)'!A22</f>
        <v>Structural change 5</v>
      </c>
      <c r="AO29" s="524" t="str">
        <f>'1.1 Structural changes (GC)'!D22</f>
        <v/>
      </c>
      <c r="AP29" s="439">
        <v>1017</v>
      </c>
      <c r="AQ29" s="439" t="str">
        <f>Settings!$A$1</f>
        <v>V2</v>
      </c>
    </row>
    <row r="30" spans="1:43" ht="12.75" customHeight="1" x14ac:dyDescent="0.2">
      <c r="A30" s="439">
        <f>'Input-FX Rates'!$C$4</f>
        <v>242</v>
      </c>
      <c r="B30" s="439" t="str">
        <f>'Input-FX Rates'!$B$4</f>
        <v>ICH Icheon (242)</v>
      </c>
      <c r="C30" s="439">
        <f>'Input-FX Rates'!$C$6</f>
        <v>750</v>
      </c>
      <c r="D30" s="439" t="str">
        <f>'Input-FX Rates'!$B$6</f>
        <v>750 BU Sensorics &amp; Controls</v>
      </c>
      <c r="E30" s="439" t="str">
        <f>'Input-FX Rates'!$C$5</f>
        <v>7521 &amp; 7522</v>
      </c>
      <c r="F30" s="439" t="str">
        <f>'Input-FX Rates'!$B$5</f>
        <v>7521 &amp; 7522 PL Mechatronic Sensors (&amp; Electrification)</v>
      </c>
      <c r="G30" s="439" t="s">
        <v>1411</v>
      </c>
      <c r="H30" s="439" t="s">
        <v>231</v>
      </c>
      <c r="I30" s="523"/>
      <c r="J30" s="523"/>
      <c r="K30" s="523"/>
      <c r="L30" s="523"/>
      <c r="M30" s="523"/>
      <c r="N30" s="523"/>
      <c r="O30" s="523"/>
      <c r="P30" s="523"/>
      <c r="Q30" s="523"/>
      <c r="R30" s="523"/>
      <c r="S30" s="523"/>
      <c r="T30" s="523"/>
      <c r="U30" s="523"/>
      <c r="V30" s="523"/>
      <c r="W30" s="523"/>
      <c r="X30" s="523"/>
      <c r="Y30" s="523"/>
      <c r="Z30" s="523"/>
      <c r="AA30" s="523"/>
      <c r="AB30" s="523"/>
      <c r="AC30" s="523"/>
      <c r="AD30" s="523"/>
      <c r="AE30" s="523"/>
      <c r="AF30" s="523"/>
      <c r="AG30" s="523"/>
      <c r="AH30" s="523"/>
      <c r="AI30" s="523"/>
      <c r="AJ30" s="523"/>
      <c r="AK30" s="523"/>
      <c r="AL30" s="524">
        <f>'1.1 Structural changes (GC)'!B23</f>
        <v>0</v>
      </c>
      <c r="AM30" s="524">
        <f>'1.1 Structural changes (GC)'!C23</f>
        <v>0</v>
      </c>
      <c r="AN30" s="524" t="str">
        <f>'1.1 Structural changes (GC)'!A23</f>
        <v>Structural change 6</v>
      </c>
      <c r="AO30" s="524" t="str">
        <f>'1.1 Structural changes (GC)'!D23</f>
        <v/>
      </c>
      <c r="AP30" s="439">
        <v>1018</v>
      </c>
      <c r="AQ30" s="439" t="str">
        <f>Settings!$A$1</f>
        <v>V2</v>
      </c>
    </row>
    <row r="31" spans="1:43" ht="12.75" customHeight="1" x14ac:dyDescent="0.2">
      <c r="A31" s="439">
        <f>'Input-FX Rates'!$C$4</f>
        <v>242</v>
      </c>
      <c r="B31" s="439" t="str">
        <f>'Input-FX Rates'!$B$4</f>
        <v>ICH Icheon (242)</v>
      </c>
      <c r="C31" s="439">
        <f>'Input-FX Rates'!$C$6</f>
        <v>750</v>
      </c>
      <c r="D31" s="439" t="str">
        <f>'Input-FX Rates'!$B$6</f>
        <v>750 BU Sensorics &amp; Controls</v>
      </c>
      <c r="E31" s="439" t="str">
        <f>'Input-FX Rates'!$C$5</f>
        <v>7521 &amp; 7522</v>
      </c>
      <c r="F31" s="439" t="str">
        <f>'Input-FX Rates'!$B$5</f>
        <v>7521 &amp; 7522 PL Mechatronic Sensors (&amp; Electrification)</v>
      </c>
      <c r="G31" s="439" t="s">
        <v>1411</v>
      </c>
      <c r="H31" s="439" t="s">
        <v>232</v>
      </c>
      <c r="I31" s="523"/>
      <c r="J31" s="523"/>
      <c r="K31" s="523"/>
      <c r="L31" s="523"/>
      <c r="M31" s="523"/>
      <c r="N31" s="523"/>
      <c r="O31" s="523"/>
      <c r="P31" s="523"/>
      <c r="Q31" s="523"/>
      <c r="R31" s="523"/>
      <c r="S31" s="523"/>
      <c r="T31" s="523"/>
      <c r="U31" s="523"/>
      <c r="V31" s="523"/>
      <c r="W31" s="523"/>
      <c r="X31" s="523"/>
      <c r="Y31" s="523"/>
      <c r="Z31" s="523"/>
      <c r="AA31" s="523"/>
      <c r="AB31" s="523"/>
      <c r="AC31" s="523"/>
      <c r="AD31" s="523"/>
      <c r="AE31" s="523"/>
      <c r="AF31" s="523"/>
      <c r="AG31" s="523"/>
      <c r="AH31" s="523"/>
      <c r="AI31" s="523"/>
      <c r="AJ31" s="523"/>
      <c r="AK31" s="523"/>
      <c r="AL31" s="524">
        <f>'1.1 Structural changes (GC)'!B24</f>
        <v>0</v>
      </c>
      <c r="AM31" s="524">
        <f>'1.1 Structural changes (GC)'!C24</f>
        <v>0</v>
      </c>
      <c r="AN31" s="524" t="str">
        <f>'1.1 Structural changes (GC)'!A24</f>
        <v>Structural change 7</v>
      </c>
      <c r="AO31" s="524" t="str">
        <f>'1.1 Structural changes (GC)'!D24</f>
        <v/>
      </c>
      <c r="AP31" s="439">
        <v>1019</v>
      </c>
      <c r="AQ31" s="439" t="str">
        <f>Settings!$A$1</f>
        <v>V2</v>
      </c>
    </row>
    <row r="32" spans="1:43" ht="12.75" customHeight="1" x14ac:dyDescent="0.2">
      <c r="A32" s="439">
        <f>'Input-FX Rates'!$C$4</f>
        <v>242</v>
      </c>
      <c r="B32" s="439" t="str">
        <f>'Input-FX Rates'!$B$4</f>
        <v>ICH Icheon (242)</v>
      </c>
      <c r="C32" s="439">
        <f>'Input-FX Rates'!$C$6</f>
        <v>750</v>
      </c>
      <c r="D32" s="439" t="str">
        <f>'Input-FX Rates'!$B$6</f>
        <v>750 BU Sensorics &amp; Controls</v>
      </c>
      <c r="E32" s="439" t="str">
        <f>'Input-FX Rates'!$C$5</f>
        <v>7521 &amp; 7522</v>
      </c>
      <c r="F32" s="439" t="str">
        <f>'Input-FX Rates'!$B$5</f>
        <v>7521 &amp; 7522 PL Mechatronic Sensors (&amp; Electrification)</v>
      </c>
      <c r="G32" s="439" t="s">
        <v>1411</v>
      </c>
      <c r="H32" s="439" t="s">
        <v>233</v>
      </c>
      <c r="I32" s="523"/>
      <c r="J32" s="523"/>
      <c r="K32" s="523"/>
      <c r="L32" s="523"/>
      <c r="M32" s="523"/>
      <c r="N32" s="523"/>
      <c r="O32" s="523"/>
      <c r="P32" s="523"/>
      <c r="Q32" s="523"/>
      <c r="R32" s="523"/>
      <c r="S32" s="523"/>
      <c r="T32" s="523"/>
      <c r="U32" s="523"/>
      <c r="V32" s="523"/>
      <c r="W32" s="523"/>
      <c r="X32" s="523"/>
      <c r="Y32" s="523"/>
      <c r="Z32" s="523"/>
      <c r="AA32" s="523"/>
      <c r="AB32" s="523"/>
      <c r="AC32" s="523"/>
      <c r="AD32" s="523"/>
      <c r="AE32" s="523"/>
      <c r="AF32" s="523"/>
      <c r="AG32" s="523"/>
      <c r="AH32" s="523"/>
      <c r="AI32" s="523"/>
      <c r="AJ32" s="523"/>
      <c r="AK32" s="523"/>
      <c r="AL32" s="524">
        <f>'1.1 Structural changes (GC)'!B25</f>
        <v>0</v>
      </c>
      <c r="AM32" s="524">
        <f>'1.1 Structural changes (GC)'!C25</f>
        <v>0</v>
      </c>
      <c r="AN32" s="524" t="str">
        <f>'1.1 Structural changes (GC)'!A25</f>
        <v>Structural change 8</v>
      </c>
      <c r="AO32" s="524" t="str">
        <f>'1.1 Structural changes (GC)'!D25</f>
        <v/>
      </c>
      <c r="AP32" s="439">
        <v>1020</v>
      </c>
      <c r="AQ32" s="439" t="str">
        <f>Settings!$A$1</f>
        <v>V2</v>
      </c>
    </row>
    <row r="33" spans="1:43" ht="12.75" customHeight="1" x14ac:dyDescent="0.2">
      <c r="A33" s="439">
        <f>'Input-FX Rates'!$C$4</f>
        <v>242</v>
      </c>
      <c r="B33" s="439" t="str">
        <f>'Input-FX Rates'!$B$4</f>
        <v>ICH Icheon (242)</v>
      </c>
      <c r="C33" s="439">
        <f>'Input-FX Rates'!$C$6</f>
        <v>750</v>
      </c>
      <c r="D33" s="439" t="str">
        <f>'Input-FX Rates'!$B$6</f>
        <v>750 BU Sensorics &amp; Controls</v>
      </c>
      <c r="E33" s="439" t="str">
        <f>'Input-FX Rates'!$C$5</f>
        <v>7521 &amp; 7522</v>
      </c>
      <c r="F33" s="439" t="str">
        <f>'Input-FX Rates'!$B$5</f>
        <v>7521 &amp; 7522 PL Mechatronic Sensors (&amp; Electrification)</v>
      </c>
      <c r="G33" s="439" t="s">
        <v>1411</v>
      </c>
      <c r="H33" s="439" t="s">
        <v>235</v>
      </c>
      <c r="I33" s="523"/>
      <c r="J33" s="523"/>
      <c r="K33" s="523"/>
      <c r="L33" s="523"/>
      <c r="M33" s="523"/>
      <c r="N33" s="523"/>
      <c r="O33" s="523"/>
      <c r="P33" s="523"/>
      <c r="Q33" s="523"/>
      <c r="R33" s="523"/>
      <c r="S33" s="523"/>
      <c r="T33" s="523"/>
      <c r="U33" s="523"/>
      <c r="V33" s="523"/>
      <c r="W33" s="523"/>
      <c r="X33" s="523"/>
      <c r="Y33" s="523"/>
      <c r="Z33" s="523"/>
      <c r="AA33" s="523"/>
      <c r="AB33" s="523"/>
      <c r="AC33" s="523"/>
      <c r="AD33" s="523"/>
      <c r="AE33" s="523"/>
      <c r="AF33" s="523"/>
      <c r="AG33" s="523"/>
      <c r="AH33" s="523"/>
      <c r="AI33" s="523"/>
      <c r="AJ33" s="523"/>
      <c r="AK33" s="523"/>
      <c r="AL33" s="524">
        <f>'1.1 Structural changes (GC)'!B26</f>
        <v>0</v>
      </c>
      <c r="AM33" s="524">
        <f>'1.1 Structural changes (GC)'!C26</f>
        <v>0</v>
      </c>
      <c r="AN33" s="524" t="str">
        <f>'1.1 Structural changes (GC)'!A26</f>
        <v>Structural change 9</v>
      </c>
      <c r="AO33" s="524" t="str">
        <f>'1.1 Structural changes (GC)'!D26</f>
        <v/>
      </c>
      <c r="AP33" s="439">
        <v>1021</v>
      </c>
      <c r="AQ33" s="439" t="str">
        <f>Settings!$A$1</f>
        <v>V2</v>
      </c>
    </row>
    <row r="34" spans="1:43" ht="12.75" customHeight="1" x14ac:dyDescent="0.2">
      <c r="A34" s="439">
        <f>'Input-FX Rates'!$C$4</f>
        <v>242</v>
      </c>
      <c r="B34" s="439" t="str">
        <f>'Input-FX Rates'!$B$4</f>
        <v>ICH Icheon (242)</v>
      </c>
      <c r="C34" s="439">
        <f>'Input-FX Rates'!$C$6</f>
        <v>750</v>
      </c>
      <c r="D34" s="439" t="str">
        <f>'Input-FX Rates'!$B$6</f>
        <v>750 BU Sensorics &amp; Controls</v>
      </c>
      <c r="E34" s="439" t="str">
        <f>'Input-FX Rates'!$C$5</f>
        <v>7521 &amp; 7522</v>
      </c>
      <c r="F34" s="439" t="str">
        <f>'Input-FX Rates'!$B$5</f>
        <v>7521 &amp; 7522 PL Mechatronic Sensors (&amp; Electrification)</v>
      </c>
      <c r="G34" s="439" t="s">
        <v>1411</v>
      </c>
      <c r="H34" s="439" t="s">
        <v>236</v>
      </c>
      <c r="I34" s="523"/>
      <c r="J34" s="523"/>
      <c r="K34" s="523"/>
      <c r="L34" s="523"/>
      <c r="M34" s="523"/>
      <c r="N34" s="523"/>
      <c r="O34" s="523"/>
      <c r="P34" s="523"/>
      <c r="Q34" s="523"/>
      <c r="R34" s="523"/>
      <c r="S34" s="523"/>
      <c r="T34" s="523"/>
      <c r="U34" s="523"/>
      <c r="V34" s="523"/>
      <c r="W34" s="523"/>
      <c r="X34" s="523"/>
      <c r="Y34" s="523"/>
      <c r="Z34" s="523"/>
      <c r="AA34" s="523"/>
      <c r="AB34" s="523"/>
      <c r="AC34" s="523"/>
      <c r="AD34" s="523"/>
      <c r="AE34" s="523"/>
      <c r="AF34" s="523"/>
      <c r="AG34" s="523"/>
      <c r="AH34" s="523"/>
      <c r="AI34" s="523"/>
      <c r="AJ34" s="523"/>
      <c r="AK34" s="523"/>
      <c r="AL34" s="524">
        <f>'1.1 Structural changes (GC)'!B27</f>
        <v>0</v>
      </c>
      <c r="AM34" s="524">
        <f>'1.1 Structural changes (GC)'!C27</f>
        <v>0</v>
      </c>
      <c r="AN34" s="524" t="str">
        <f>'1.1 Structural changes (GC)'!A27</f>
        <v>Structural change 10</v>
      </c>
      <c r="AO34" s="524" t="str">
        <f>'1.1 Structural changes (GC)'!D27</f>
        <v/>
      </c>
      <c r="AP34" s="439">
        <v>1022</v>
      </c>
      <c r="AQ34" s="439" t="str">
        <f>Settings!$A$1</f>
        <v>V2</v>
      </c>
    </row>
    <row r="35" spans="1:43" s="525" customFormat="1" ht="12.75" customHeight="1" x14ac:dyDescent="0.2">
      <c r="A35" s="525">
        <f>'Input-FX Rates'!$C$4</f>
        <v>242</v>
      </c>
      <c r="B35" s="525" t="str">
        <f>'Input-FX Rates'!$B$4</f>
        <v>ICH Icheon (242)</v>
      </c>
      <c r="C35" s="525">
        <f>'Input-FX Rates'!$C$6</f>
        <v>750</v>
      </c>
      <c r="D35" s="525" t="str">
        <f>'Input-FX Rates'!$B$6</f>
        <v>750 BU Sensorics &amp; Controls</v>
      </c>
      <c r="E35" s="525" t="str">
        <f>'Input-FX Rates'!$C$5</f>
        <v>7521 &amp; 7522</v>
      </c>
      <c r="F35" s="525" t="str">
        <f>'Input-FX Rates'!$B$5</f>
        <v>7521 &amp; 7522 PL Mechatronic Sensors (&amp; Electrification)</v>
      </c>
      <c r="G35" s="525" t="s">
        <v>1411</v>
      </c>
      <c r="H35" s="525" t="s">
        <v>239</v>
      </c>
      <c r="I35" s="526"/>
      <c r="J35" s="526"/>
      <c r="K35" s="526"/>
      <c r="L35" s="526"/>
      <c r="M35" s="526"/>
      <c r="N35" s="526"/>
      <c r="O35" s="526"/>
      <c r="P35" s="526"/>
      <c r="Q35" s="526"/>
      <c r="R35" s="526"/>
      <c r="S35" s="526"/>
      <c r="T35" s="526"/>
      <c r="U35" s="526"/>
      <c r="V35" s="526"/>
      <c r="W35" s="526"/>
      <c r="X35" s="526"/>
      <c r="Y35" s="526"/>
      <c r="Z35" s="526"/>
      <c r="AA35" s="526"/>
      <c r="AB35" s="526"/>
      <c r="AC35" s="526"/>
      <c r="AD35" s="526"/>
      <c r="AE35" s="526"/>
      <c r="AF35" s="526"/>
      <c r="AG35" s="526"/>
      <c r="AH35" s="526"/>
      <c r="AI35" s="526"/>
      <c r="AJ35" s="526"/>
      <c r="AK35" s="526"/>
      <c r="AL35" s="527">
        <f>'1.1 Structural changes (GC)'!B28</f>
        <v>0</v>
      </c>
      <c r="AM35" s="527">
        <f>'1.1 Structural changes (GC)'!C28</f>
        <v>0</v>
      </c>
      <c r="AN35" s="527" t="str">
        <f>'1.1 Structural changes (GC)'!A28</f>
        <v>Total structural changes</v>
      </c>
      <c r="AO35" s="527" t="str">
        <f>'1.1 Structural changes (GC)'!D28</f>
        <v/>
      </c>
      <c r="AP35" s="525">
        <v>1023</v>
      </c>
      <c r="AQ35" s="525" t="str">
        <f>Settings!$A$1</f>
        <v>V2</v>
      </c>
    </row>
    <row r="36" spans="1:43" ht="12.75" customHeight="1" x14ac:dyDescent="0.2">
      <c r="A36" s="439">
        <f>'Input-FX Rates'!$C$4</f>
        <v>242</v>
      </c>
      <c r="B36" s="439" t="str">
        <f>'Input-FX Rates'!$B$4</f>
        <v>ICH Icheon (242)</v>
      </c>
      <c r="C36" s="439">
        <f>'Input-FX Rates'!$C$6</f>
        <v>750</v>
      </c>
      <c r="D36" s="439" t="str">
        <f>'Input-FX Rates'!$B$6</f>
        <v>750 BU Sensorics &amp; Controls</v>
      </c>
      <c r="E36" s="439" t="str">
        <f>'Input-FX Rates'!$C$5</f>
        <v>7521 &amp; 7522</v>
      </c>
      <c r="F36" s="439" t="str">
        <f>'Input-FX Rates'!$B$5</f>
        <v>7521 &amp; 7522 PL Mechatronic Sensors (&amp; Electrification)</v>
      </c>
      <c r="G36" s="439" t="s">
        <v>1413</v>
      </c>
      <c r="H36" s="439" t="s">
        <v>195</v>
      </c>
      <c r="I36" s="523"/>
      <c r="J36" s="523"/>
      <c r="K36" s="524">
        <f>'2. Variable (GC)'!B6</f>
        <v>7249.997525078973</v>
      </c>
      <c r="L36" s="524">
        <f>'2. Variable (GC)'!C6</f>
        <v>15111.540802308424</v>
      </c>
      <c r="M36" s="524">
        <f>'2. Variable (GC)'!D6</f>
        <v>0</v>
      </c>
      <c r="N36" s="524">
        <f>'2. Variable (GC)'!E6</f>
        <v>15111.540802308424</v>
      </c>
      <c r="O36" s="524">
        <f>'2. Variable (GC)'!N6</f>
        <v>14187.261937931033</v>
      </c>
      <c r="P36" s="524">
        <f>'2. Variable (GC)'!M6</f>
        <v>0</v>
      </c>
      <c r="Q36" s="524">
        <f>'2. Variable (GC)'!F6</f>
        <v>-734.89605687517962</v>
      </c>
      <c r="R36" s="524">
        <f>'2. Variable (GC)'!G6</f>
        <v>0</v>
      </c>
      <c r="S36" s="524">
        <f>'2. Variable (GC)'!H6</f>
        <v>-618.2385282681139</v>
      </c>
      <c r="T36" s="524">
        <f>'2. Variable (GC)'!I6</f>
        <v>0</v>
      </c>
      <c r="U36" s="524">
        <f>'2. Variable (GC)'!K6</f>
        <v>897.01934866213958</v>
      </c>
      <c r="V36" s="524">
        <f>'2. Variable (GC)'!L6</f>
        <v>-468.16362789623599</v>
      </c>
      <c r="W36" s="523"/>
      <c r="X36" s="523"/>
      <c r="Y36" s="523"/>
      <c r="Z36" s="523"/>
      <c r="AA36" s="523"/>
      <c r="AB36" s="523"/>
      <c r="AC36" s="523"/>
      <c r="AD36" s="523"/>
      <c r="AE36" s="523"/>
      <c r="AF36" s="523"/>
      <c r="AG36" s="523"/>
      <c r="AH36" s="523"/>
      <c r="AI36" s="523"/>
      <c r="AJ36" s="523"/>
      <c r="AK36" s="523"/>
      <c r="AL36" s="523"/>
      <c r="AM36" s="523"/>
      <c r="AN36" s="523"/>
      <c r="AO36" s="439" t="str">
        <f>'2. Variable (GC)'!P6</f>
        <v/>
      </c>
      <c r="AP36" s="439">
        <v>12</v>
      </c>
      <c r="AQ36" s="439" t="str">
        <f>Settings!$A$1</f>
        <v>V2</v>
      </c>
    </row>
    <row r="37" spans="1:43" ht="12.75" customHeight="1" x14ac:dyDescent="0.2">
      <c r="A37" s="439">
        <f>'Input-FX Rates'!$C$4</f>
        <v>242</v>
      </c>
      <c r="B37" s="439" t="str">
        <f>'Input-FX Rates'!$B$4</f>
        <v>ICH Icheon (242)</v>
      </c>
      <c r="C37" s="439">
        <f>'Input-FX Rates'!$C$6</f>
        <v>750</v>
      </c>
      <c r="D37" s="439" t="str">
        <f>'Input-FX Rates'!$B$6</f>
        <v>750 BU Sensorics &amp; Controls</v>
      </c>
      <c r="E37" s="439" t="str">
        <f>'Input-FX Rates'!$C$5</f>
        <v>7521 &amp; 7522</v>
      </c>
      <c r="F37" s="439" t="str">
        <f>'Input-FX Rates'!$B$5</f>
        <v>7521 &amp; 7522 PL Mechatronic Sensors (&amp; Electrification)</v>
      </c>
      <c r="G37" s="439" t="s">
        <v>1413</v>
      </c>
      <c r="H37" s="439" t="s">
        <v>253</v>
      </c>
      <c r="I37" s="523"/>
      <c r="J37" s="523"/>
      <c r="K37" s="524">
        <f>'2. Variable (GC)'!B7</f>
        <v>7023.4249454821365</v>
      </c>
      <c r="L37" s="524">
        <f>'2. Variable (GC)'!C7</f>
        <v>13650.591395693606</v>
      </c>
      <c r="M37" s="524">
        <f>'2. Variable (GC)'!D7</f>
        <v>0</v>
      </c>
      <c r="N37" s="524">
        <f>'2. Variable (GC)'!E7</f>
        <v>13650.591395693606</v>
      </c>
      <c r="O37" s="524">
        <f>'2. Variable (GC)'!N7</f>
        <v>12902.888349999999</v>
      </c>
      <c r="P37" s="524">
        <f>'2. Variable (GC)'!M7</f>
        <v>0</v>
      </c>
      <c r="Q37" s="524">
        <f>'2. Variable (GC)'!F7</f>
        <v>0</v>
      </c>
      <c r="R37" s="524">
        <f>'2. Variable (GC)'!G7</f>
        <v>0</v>
      </c>
      <c r="S37" s="524">
        <f>'2. Variable (GC)'!H7</f>
        <v>0</v>
      </c>
      <c r="T37" s="524">
        <f>'2. Variable (GC)'!I7</f>
        <v>0</v>
      </c>
      <c r="U37" s="524">
        <f>'2. Variable (GC)'!K7</f>
        <v>0</v>
      </c>
      <c r="V37" s="524">
        <f>'2. Variable (GC)'!L7</f>
        <v>-425.78074942887724</v>
      </c>
      <c r="W37" s="523"/>
      <c r="X37" s="523"/>
      <c r="Y37" s="523"/>
      <c r="Z37" s="523"/>
      <c r="AA37" s="523"/>
      <c r="AB37" s="523"/>
      <c r="AC37" s="523"/>
      <c r="AD37" s="523"/>
      <c r="AE37" s="523"/>
      <c r="AF37" s="523"/>
      <c r="AG37" s="523"/>
      <c r="AH37" s="523"/>
      <c r="AI37" s="523"/>
      <c r="AJ37" s="523"/>
      <c r="AK37" s="523"/>
      <c r="AL37" s="523"/>
      <c r="AM37" s="523"/>
      <c r="AN37" s="523"/>
      <c r="AO37" s="439" t="str">
        <f>'2. Variable (GC)'!P7</f>
        <v/>
      </c>
      <c r="AP37" s="439">
        <v>13</v>
      </c>
      <c r="AQ37" s="439" t="str">
        <f>Settings!$A$1</f>
        <v>V2</v>
      </c>
    </row>
    <row r="38" spans="1:43" ht="12.75" customHeight="1" x14ac:dyDescent="0.2">
      <c r="A38" s="439">
        <f>'Input-FX Rates'!$C$4</f>
        <v>242</v>
      </c>
      <c r="B38" s="439" t="str">
        <f>'Input-FX Rates'!$B$4</f>
        <v>ICH Icheon (242)</v>
      </c>
      <c r="C38" s="439">
        <f>'Input-FX Rates'!$C$6</f>
        <v>750</v>
      </c>
      <c r="D38" s="439" t="str">
        <f>'Input-FX Rates'!$B$6</f>
        <v>750 BU Sensorics &amp; Controls</v>
      </c>
      <c r="E38" s="439" t="str">
        <f>'Input-FX Rates'!$C$5</f>
        <v>7521 &amp; 7522</v>
      </c>
      <c r="F38" s="439" t="str">
        <f>'Input-FX Rates'!$B$5</f>
        <v>7521 &amp; 7522 PL Mechatronic Sensors (&amp; Electrification)</v>
      </c>
      <c r="G38" s="439" t="s">
        <v>1413</v>
      </c>
      <c r="H38" s="439" t="s">
        <v>254</v>
      </c>
      <c r="I38" s="523"/>
      <c r="J38" s="523"/>
      <c r="K38" s="524">
        <f>'2. Variable (GC)'!B8</f>
        <v>-4595.6665521126361</v>
      </c>
      <c r="L38" s="524">
        <f>'2. Variable (GC)'!C8</f>
        <v>-8863.1086499244775</v>
      </c>
      <c r="M38" s="524">
        <f>'2. Variable (GC)'!D8</f>
        <v>0</v>
      </c>
      <c r="N38" s="524">
        <f>'2. Variable (GC)'!E8</f>
        <v>-8863.1086499244775</v>
      </c>
      <c r="O38" s="524">
        <f>'2. Variable (GC)'!N8</f>
        <v>-7310.6300423000012</v>
      </c>
      <c r="P38" s="524">
        <f>'2. Variable (GC)'!M8</f>
        <v>0</v>
      </c>
      <c r="Q38" s="524">
        <f>'2. Variable (GC)'!F8</f>
        <v>431.02625930149588</v>
      </c>
      <c r="R38" s="524">
        <f>'2. Variable (GC)'!G8</f>
        <v>759.58188024231788</v>
      </c>
      <c r="S38" s="524">
        <f>'2. Variable (GC)'!H8</f>
        <v>105.58836407488177</v>
      </c>
      <c r="T38" s="524">
        <f>'2. Variable (GC)'!I8</f>
        <v>0</v>
      </c>
      <c r="U38" s="524">
        <f>'2. Variable (GC)'!K8</f>
        <v>15.039565608727566</v>
      </c>
      <c r="V38" s="524">
        <f>'2. Variable (GC)'!L8</f>
        <v>241.24253839705216</v>
      </c>
      <c r="W38" s="523"/>
      <c r="X38" s="523"/>
      <c r="Y38" s="523"/>
      <c r="Z38" s="523"/>
      <c r="AA38" s="523"/>
      <c r="AB38" s="523"/>
      <c r="AC38" s="523"/>
      <c r="AD38" s="523"/>
      <c r="AE38" s="523"/>
      <c r="AF38" s="523"/>
      <c r="AG38" s="523"/>
      <c r="AH38" s="523"/>
      <c r="AI38" s="523"/>
      <c r="AJ38" s="523"/>
      <c r="AK38" s="523"/>
      <c r="AL38" s="523"/>
      <c r="AM38" s="523"/>
      <c r="AN38" s="523"/>
      <c r="AO38" s="439" t="str">
        <f>'2. Variable (GC)'!P8</f>
        <v/>
      </c>
      <c r="AP38" s="439">
        <v>14</v>
      </c>
      <c r="AQ38" s="439" t="str">
        <f>Settings!$A$1</f>
        <v>V2</v>
      </c>
    </row>
    <row r="39" spans="1:43" ht="12.75" customHeight="1" x14ac:dyDescent="0.2">
      <c r="A39" s="439">
        <f>'Input-FX Rates'!$C$4</f>
        <v>242</v>
      </c>
      <c r="B39" s="439" t="str">
        <f>'Input-FX Rates'!$B$4</f>
        <v>ICH Icheon (242)</v>
      </c>
      <c r="C39" s="439">
        <f>'Input-FX Rates'!$C$6</f>
        <v>750</v>
      </c>
      <c r="D39" s="439" t="str">
        <f>'Input-FX Rates'!$B$6</f>
        <v>750 BU Sensorics &amp; Controls</v>
      </c>
      <c r="E39" s="439" t="str">
        <f>'Input-FX Rates'!$C$5</f>
        <v>7521 &amp; 7522</v>
      </c>
      <c r="F39" s="439" t="str">
        <f>'Input-FX Rates'!$B$5</f>
        <v>7521 &amp; 7522 PL Mechatronic Sensors (&amp; Electrification)</v>
      </c>
      <c r="G39" s="439" t="s">
        <v>1413</v>
      </c>
      <c r="H39" s="530" t="s">
        <v>1414</v>
      </c>
      <c r="I39" s="523"/>
      <c r="J39" s="523"/>
      <c r="K39" s="524">
        <f>'2. Variable (GC)'!B10</f>
        <v>-4389.7072784193642</v>
      </c>
      <c r="L39" s="524">
        <f>'2. Variable (GC)'!C10</f>
        <v>-8532.2407157089219</v>
      </c>
      <c r="M39" s="524">
        <f>'2. Variable (GC)'!D10</f>
        <v>0</v>
      </c>
      <c r="N39" s="524">
        <f>'2. Variable (GC)'!E10</f>
        <v>-8532.2407157089219</v>
      </c>
      <c r="O39" s="524">
        <f>'2. Variable (GC)'!N10</f>
        <v>-7284.2407126448279</v>
      </c>
      <c r="P39" s="524">
        <f>'2. Variable (GC)'!M10</f>
        <v>0</v>
      </c>
      <c r="Q39" s="524">
        <f>'2. Variable (GC)'!F10</f>
        <v>414.93498654187698</v>
      </c>
      <c r="R39" s="524">
        <f>'2. Variable (GC)'!G10</f>
        <v>490.8276325687703</v>
      </c>
      <c r="S39" s="524">
        <f>'2. Variable (GC)'!H10</f>
        <v>101.86508528930317</v>
      </c>
      <c r="T39" s="524">
        <f>'2. Variable (GC)'!I10</f>
        <v>0</v>
      </c>
      <c r="U39" s="524">
        <f>'2. Variable (GC)'!K10</f>
        <v>5.7835469403094599E-4</v>
      </c>
      <c r="V39" s="524">
        <f>'2. Variable (GC)'!L10</f>
        <v>240.3717203094493</v>
      </c>
      <c r="W39" s="523"/>
      <c r="X39" s="523"/>
      <c r="Y39" s="523"/>
      <c r="Z39" s="523"/>
      <c r="AA39" s="523"/>
      <c r="AB39" s="523"/>
      <c r="AC39" s="523"/>
      <c r="AD39" s="523"/>
      <c r="AE39" s="523"/>
      <c r="AF39" s="523"/>
      <c r="AG39" s="523"/>
      <c r="AH39" s="523"/>
      <c r="AI39" s="523"/>
      <c r="AJ39" s="523"/>
      <c r="AK39" s="523"/>
      <c r="AL39" s="523"/>
      <c r="AM39" s="523"/>
      <c r="AN39" s="523"/>
      <c r="AO39" s="439" t="str">
        <f>'2. Variable (GC)'!P10</f>
        <v>Volume decrease, material price drop, and product mix impact</v>
      </c>
      <c r="AP39" s="439">
        <v>15</v>
      </c>
      <c r="AQ39" s="439" t="str">
        <f>Settings!$A$1</f>
        <v>V2</v>
      </c>
    </row>
    <row r="40" spans="1:43" ht="12.75" customHeight="1" x14ac:dyDescent="0.2">
      <c r="A40" s="439">
        <f>'Input-FX Rates'!$C$4</f>
        <v>242</v>
      </c>
      <c r="B40" s="439" t="str">
        <f>'Input-FX Rates'!$B$4</f>
        <v>ICH Icheon (242)</v>
      </c>
      <c r="C40" s="439">
        <f>'Input-FX Rates'!$C$6</f>
        <v>750</v>
      </c>
      <c r="D40" s="439" t="str">
        <f>'Input-FX Rates'!$B$6</f>
        <v>750 BU Sensorics &amp; Controls</v>
      </c>
      <c r="E40" s="439" t="str">
        <f>'Input-FX Rates'!$C$5</f>
        <v>7521 &amp; 7522</v>
      </c>
      <c r="F40" s="439" t="str">
        <f>'Input-FX Rates'!$B$5</f>
        <v>7521 &amp; 7522 PL Mechatronic Sensors (&amp; Electrification)</v>
      </c>
      <c r="G40" s="439" t="s">
        <v>1413</v>
      </c>
      <c r="H40" s="439" t="s">
        <v>260</v>
      </c>
      <c r="I40" s="523"/>
      <c r="J40" s="523"/>
      <c r="K40" s="524">
        <f>'2. Variable (GC)'!B11</f>
        <v>-181.58653116996351</v>
      </c>
      <c r="L40" s="524">
        <f>'2. Variable (GC)'!C11</f>
        <v>-286.40606042912316</v>
      </c>
      <c r="M40" s="524">
        <f>'2. Variable (GC)'!D11</f>
        <v>0</v>
      </c>
      <c r="N40" s="524">
        <f>'2. Variable (GC)'!E11</f>
        <v>-286.40606042912316</v>
      </c>
      <c r="O40" s="524">
        <f>'2. Variable (GC)'!N11</f>
        <v>0</v>
      </c>
      <c r="P40" s="524">
        <f>'2. Variable (GC)'!M11</f>
        <v>0</v>
      </c>
      <c r="Q40" s="524">
        <f>'2. Variable (GC)'!F11</f>
        <v>13.928386847448024</v>
      </c>
      <c r="R40" s="524">
        <f>'2. Variable (GC)'!G11</f>
        <v>268.75424767354764</v>
      </c>
      <c r="S40" s="524">
        <f>'2. Variable (GC)'!H11</f>
        <v>3.7232787855786005</v>
      </c>
      <c r="T40" s="524">
        <f>'2. Variable (GC)'!I11</f>
        <v>0</v>
      </c>
      <c r="U40" s="524">
        <f>'2. Variable (GC)'!K11</f>
        <v>1.471225488813999E-4</v>
      </c>
      <c r="V40" s="524">
        <f>'2. Variable (GC)'!L11</f>
        <v>0</v>
      </c>
      <c r="W40" s="523"/>
      <c r="X40" s="523"/>
      <c r="Y40" s="523"/>
      <c r="Z40" s="523"/>
      <c r="AA40" s="523"/>
      <c r="AB40" s="523"/>
      <c r="AC40" s="523"/>
      <c r="AD40" s="523"/>
      <c r="AE40" s="523"/>
      <c r="AF40" s="523"/>
      <c r="AG40" s="523"/>
      <c r="AH40" s="523"/>
      <c r="AI40" s="523"/>
      <c r="AJ40" s="523"/>
      <c r="AK40" s="523"/>
      <c r="AL40" s="523"/>
      <c r="AM40" s="523"/>
      <c r="AN40" s="523"/>
      <c r="AO40" s="439" t="str">
        <f>'2. Variable (GC)'!P11</f>
        <v>-</v>
      </c>
      <c r="AP40" s="439">
        <v>16</v>
      </c>
      <c r="AQ40" s="439" t="str">
        <f>Settings!$A$1</f>
        <v>V2</v>
      </c>
    </row>
    <row r="41" spans="1:43" ht="12.75" customHeight="1" x14ac:dyDescent="0.2">
      <c r="A41" s="439">
        <f>'Input-FX Rates'!$C$4</f>
        <v>242</v>
      </c>
      <c r="B41" s="439" t="str">
        <f>'Input-FX Rates'!$B$4</f>
        <v>ICH Icheon (242)</v>
      </c>
      <c r="C41" s="439">
        <f>'Input-FX Rates'!$C$6</f>
        <v>750</v>
      </c>
      <c r="D41" s="439" t="str">
        <f>'Input-FX Rates'!$B$6</f>
        <v>750 BU Sensorics &amp; Controls</v>
      </c>
      <c r="E41" s="439" t="str">
        <f>'Input-FX Rates'!$C$5</f>
        <v>7521 &amp; 7522</v>
      </c>
      <c r="F41" s="439" t="str">
        <f>'Input-FX Rates'!$B$5</f>
        <v>7521 &amp; 7522 PL Mechatronic Sensors (&amp; Electrification)</v>
      </c>
      <c r="G41" s="439" t="s">
        <v>1413</v>
      </c>
      <c r="H41" s="439" t="s">
        <v>263</v>
      </c>
      <c r="I41" s="523"/>
      <c r="J41" s="523"/>
      <c r="K41" s="524">
        <f>'2. Variable (GC)'!B12</f>
        <v>-3.0757828813388945</v>
      </c>
      <c r="L41" s="524">
        <f>'2. Variable (GC)'!C12</f>
        <v>-3.0695874916346684</v>
      </c>
      <c r="M41" s="524">
        <f>'2. Variable (GC)'!D12</f>
        <v>0</v>
      </c>
      <c r="N41" s="524">
        <f>'2. Variable (GC)'!E12</f>
        <v>-3.0695874916346684</v>
      </c>
      <c r="O41" s="524">
        <f>'2. Variable (GC)'!N12</f>
        <v>0</v>
      </c>
      <c r="P41" s="524">
        <f>'2. Variable (GC)'!M12</f>
        <v>0</v>
      </c>
      <c r="Q41" s="524">
        <f>'2. Variable (GC)'!F12</f>
        <v>0.14960673305529565</v>
      </c>
      <c r="R41" s="524">
        <f>'2. Variable (GC)'!G12</f>
        <v>0</v>
      </c>
      <c r="S41" s="524">
        <f>'2. Variable (GC)'!H12</f>
        <v>0</v>
      </c>
      <c r="T41" s="524">
        <f>'2. Variable (GC)'!I12</f>
        <v>0</v>
      </c>
      <c r="U41" s="524">
        <f>'2. Variable (GC)'!K12</f>
        <v>2.9199807585793729</v>
      </c>
      <c r="V41" s="524">
        <f>'2. Variable (GC)'!L12</f>
        <v>0</v>
      </c>
      <c r="W41" s="523"/>
      <c r="X41" s="523"/>
      <c r="Y41" s="523"/>
      <c r="Z41" s="523"/>
      <c r="AA41" s="523"/>
      <c r="AB41" s="523"/>
      <c r="AC41" s="523"/>
      <c r="AD41" s="523"/>
      <c r="AE41" s="523"/>
      <c r="AF41" s="523"/>
      <c r="AG41" s="523"/>
      <c r="AH41" s="523"/>
      <c r="AI41" s="523"/>
      <c r="AJ41" s="523"/>
      <c r="AK41" s="523"/>
      <c r="AL41" s="523"/>
      <c r="AM41" s="523"/>
      <c r="AN41" s="523"/>
      <c r="AO41" s="439" t="str">
        <f>'2. Variable (GC)'!P12</f>
        <v>-</v>
      </c>
      <c r="AP41" s="439">
        <v>17</v>
      </c>
      <c r="AQ41" s="439" t="str">
        <f>Settings!$A$1</f>
        <v>V2</v>
      </c>
    </row>
    <row r="42" spans="1:43" ht="12.75" customHeight="1" x14ac:dyDescent="0.2">
      <c r="A42" s="439">
        <f>'Input-FX Rates'!$C$4</f>
        <v>242</v>
      </c>
      <c r="B42" s="439" t="str">
        <f>'Input-FX Rates'!$B$4</f>
        <v>ICH Icheon (242)</v>
      </c>
      <c r="C42" s="439">
        <f>'Input-FX Rates'!$C$6</f>
        <v>750</v>
      </c>
      <c r="D42" s="439" t="str">
        <f>'Input-FX Rates'!$B$6</f>
        <v>750 BU Sensorics &amp; Controls</v>
      </c>
      <c r="E42" s="439" t="str">
        <f>'Input-FX Rates'!$C$5</f>
        <v>7521 &amp; 7522</v>
      </c>
      <c r="F42" s="439" t="str">
        <f>'Input-FX Rates'!$B$5</f>
        <v>7521 &amp; 7522 PL Mechatronic Sensors (&amp; Electrification)</v>
      </c>
      <c r="G42" s="439" t="s">
        <v>1413</v>
      </c>
      <c r="H42" s="439" t="s">
        <v>265</v>
      </c>
      <c r="I42" s="523"/>
      <c r="J42" s="523"/>
      <c r="K42" s="524">
        <f>'2. Variable (GC)'!B13</f>
        <v>-21.296959641968943</v>
      </c>
      <c r="L42" s="524">
        <f>'2. Variable (GC)'!C13</f>
        <v>-41.392286294796477</v>
      </c>
      <c r="M42" s="524">
        <f>'2. Variable (GC)'!D13</f>
        <v>0</v>
      </c>
      <c r="N42" s="524">
        <f>'2. Variable (GC)'!E13</f>
        <v>-41.392286294796477</v>
      </c>
      <c r="O42" s="524">
        <f>'2. Variable (GC)'!N13</f>
        <v>-26.389329655172414</v>
      </c>
      <c r="P42" s="524">
        <f>'2. Variable (GC)'!M13</f>
        <v>0</v>
      </c>
      <c r="Q42" s="524">
        <f>'2. Variable (GC)'!F13</f>
        <v>2.0132791791155498</v>
      </c>
      <c r="R42" s="524">
        <f>'2. Variable (GC)'!G13</f>
        <v>0</v>
      </c>
      <c r="S42" s="524">
        <f>'2. Variable (GC)'!H13</f>
        <v>0</v>
      </c>
      <c r="T42" s="524">
        <f>'2. Variable (GC)'!I13</f>
        <v>0</v>
      </c>
      <c r="U42" s="524">
        <f>'2. Variable (GC)'!K13</f>
        <v>12.11885937290528</v>
      </c>
      <c r="V42" s="524">
        <f>'2. Variable (GC)'!L13</f>
        <v>0.87081808760322943</v>
      </c>
      <c r="W42" s="523"/>
      <c r="X42" s="523"/>
      <c r="Y42" s="523"/>
      <c r="Z42" s="523"/>
      <c r="AA42" s="523"/>
      <c r="AB42" s="523"/>
      <c r="AC42" s="523"/>
      <c r="AD42" s="523"/>
      <c r="AE42" s="523"/>
      <c r="AF42" s="523"/>
      <c r="AG42" s="523"/>
      <c r="AH42" s="523"/>
      <c r="AI42" s="523"/>
      <c r="AJ42" s="523"/>
      <c r="AK42" s="523"/>
      <c r="AL42" s="523"/>
      <c r="AM42" s="523"/>
      <c r="AN42" s="523"/>
      <c r="AO42" s="439" t="str">
        <f>'2. Variable (GC)'!P13</f>
        <v>supplier tooling depreciation decrease</v>
      </c>
      <c r="AP42" s="439">
        <v>18</v>
      </c>
      <c r="AQ42" s="439" t="str">
        <f>Settings!$A$1</f>
        <v>V2</v>
      </c>
    </row>
    <row r="43" spans="1:43" ht="12.75" customHeight="1" x14ac:dyDescent="0.2">
      <c r="A43" s="439">
        <f>'Input-FX Rates'!$C$4</f>
        <v>242</v>
      </c>
      <c r="B43" s="439" t="str">
        <f>'Input-FX Rates'!$B$4</f>
        <v>ICH Icheon (242)</v>
      </c>
      <c r="C43" s="439">
        <f>'Input-FX Rates'!$C$6</f>
        <v>750</v>
      </c>
      <c r="D43" s="439" t="str">
        <f>'Input-FX Rates'!$B$6</f>
        <v>750 BU Sensorics &amp; Controls</v>
      </c>
      <c r="E43" s="439" t="str">
        <f>'Input-FX Rates'!$C$5</f>
        <v>7521 &amp; 7522</v>
      </c>
      <c r="F43" s="439" t="str">
        <f>'Input-FX Rates'!$B$5</f>
        <v>7521 &amp; 7522 PL Mechatronic Sensors (&amp; Electrification)</v>
      </c>
      <c r="G43" s="439" t="s">
        <v>1413</v>
      </c>
      <c r="H43" s="439" t="s">
        <v>268</v>
      </c>
      <c r="I43" s="523"/>
      <c r="J43" s="523"/>
      <c r="K43" s="524">
        <f>'2. Variable (GC)'!B14</f>
        <v>0</v>
      </c>
      <c r="L43" s="524">
        <f>'2. Variable (GC)'!C14</f>
        <v>0</v>
      </c>
      <c r="M43" s="524">
        <f>'2. Variable (GC)'!D14</f>
        <v>0</v>
      </c>
      <c r="N43" s="524">
        <f>'2. Variable (GC)'!E14</f>
        <v>0</v>
      </c>
      <c r="O43" s="524">
        <f>'2. Variable (GC)'!N14</f>
        <v>0</v>
      </c>
      <c r="P43" s="524">
        <f>'2. Variable (GC)'!M14</f>
        <v>0</v>
      </c>
      <c r="Q43" s="524">
        <f>'2. Variable (GC)'!F14</f>
        <v>0</v>
      </c>
      <c r="R43" s="524">
        <f>'2. Variable (GC)'!G14</f>
        <v>0</v>
      </c>
      <c r="S43" s="524">
        <f>'2. Variable (GC)'!H14</f>
        <v>0</v>
      </c>
      <c r="T43" s="524">
        <f>'2. Variable (GC)'!I14</f>
        <v>0</v>
      </c>
      <c r="U43" s="524">
        <f>'2. Variable (GC)'!K14</f>
        <v>0</v>
      </c>
      <c r="V43" s="524">
        <f>'2. Variable (GC)'!L14</f>
        <v>0</v>
      </c>
      <c r="W43" s="523"/>
      <c r="X43" s="523"/>
      <c r="Y43" s="523"/>
      <c r="Z43" s="523"/>
      <c r="AA43" s="523"/>
      <c r="AB43" s="523"/>
      <c r="AC43" s="523"/>
      <c r="AD43" s="523"/>
      <c r="AE43" s="523"/>
      <c r="AF43" s="523"/>
      <c r="AG43" s="523"/>
      <c r="AH43" s="523"/>
      <c r="AI43" s="523"/>
      <c r="AJ43" s="523"/>
      <c r="AK43" s="523"/>
      <c r="AL43" s="523"/>
      <c r="AM43" s="523"/>
      <c r="AN43" s="523"/>
      <c r="AO43" s="439" t="str">
        <f>'2. Variable (GC)'!P14</f>
        <v>-</v>
      </c>
      <c r="AP43" s="439">
        <v>19</v>
      </c>
      <c r="AQ43" s="439" t="str">
        <f>Settings!$A$1</f>
        <v>V2</v>
      </c>
    </row>
    <row r="44" spans="1:43" ht="12.75" customHeight="1" x14ac:dyDescent="0.2">
      <c r="A44" s="439">
        <f>'Input-FX Rates'!$C$4</f>
        <v>242</v>
      </c>
      <c r="B44" s="439" t="str">
        <f>'Input-FX Rates'!$B$4</f>
        <v>ICH Icheon (242)</v>
      </c>
      <c r="C44" s="439">
        <f>'Input-FX Rates'!$C$6</f>
        <v>750</v>
      </c>
      <c r="D44" s="439" t="str">
        <f>'Input-FX Rates'!$B$6</f>
        <v>750 BU Sensorics &amp; Controls</v>
      </c>
      <c r="E44" s="439" t="str">
        <f>'Input-FX Rates'!$C$5</f>
        <v>7521 &amp; 7522</v>
      </c>
      <c r="F44" s="439" t="str">
        <f>'Input-FX Rates'!$B$5</f>
        <v>7521 &amp; 7522 PL Mechatronic Sensors (&amp; Electrification)</v>
      </c>
      <c r="G44" s="439" t="s">
        <v>1413</v>
      </c>
      <c r="H44" s="439" t="s">
        <v>1415</v>
      </c>
      <c r="I44" s="523"/>
      <c r="J44" s="523"/>
      <c r="K44" s="524">
        <f>'2. Variable (GC)'!B15</f>
        <v>-175.03238563013025</v>
      </c>
      <c r="L44" s="524">
        <f>'2. Variable (GC)'!C15</f>
        <v>-476.8423913918765</v>
      </c>
      <c r="M44" s="524">
        <f>'2. Variable (GC)'!D15</f>
        <v>0</v>
      </c>
      <c r="N44" s="524">
        <f>'2. Variable (GC)'!E15</f>
        <v>-476.8423913918765</v>
      </c>
      <c r="O44" s="524">
        <f>'2. Variable (GC)'!N15</f>
        <v>-338.57980363587046</v>
      </c>
      <c r="P44" s="524">
        <f>'2. Variable (GC)'!M15</f>
        <v>0</v>
      </c>
      <c r="Q44" s="524">
        <f>'2. Variable (GC)'!F15</f>
        <v>23.189756036585372</v>
      </c>
      <c r="R44" s="524">
        <f>'2. Variable (GC)'!G15</f>
        <v>103.90008042350148</v>
      </c>
      <c r="S44" s="524">
        <f>'2. Variable (GC)'!H15</f>
        <v>0</v>
      </c>
      <c r="T44" s="524">
        <f>'2. Variable (GC)'!I15</f>
        <v>0</v>
      </c>
      <c r="U44" s="524">
        <f>'2. Variable (GC)'!K15</f>
        <v>0</v>
      </c>
      <c r="V44" s="524">
        <f>'2. Variable (GC)'!L15</f>
        <v>11.17275129591917</v>
      </c>
      <c r="W44" s="523"/>
      <c r="X44" s="523"/>
      <c r="Y44" s="523"/>
      <c r="Z44" s="523"/>
      <c r="AA44" s="523"/>
      <c r="AB44" s="523"/>
      <c r="AC44" s="523"/>
      <c r="AD44" s="523"/>
      <c r="AE44" s="523"/>
      <c r="AF44" s="523"/>
      <c r="AG44" s="523"/>
      <c r="AH44" s="523"/>
      <c r="AI44" s="523"/>
      <c r="AJ44" s="523"/>
      <c r="AK44" s="523"/>
      <c r="AL44" s="523"/>
      <c r="AM44" s="523"/>
      <c r="AN44" s="523"/>
      <c r="AO44" s="439" t="str">
        <f>'2. Variable (GC)'!P15</f>
        <v>Changchun, Boussens</v>
      </c>
      <c r="AP44" s="439">
        <v>20</v>
      </c>
      <c r="AQ44" s="439" t="str">
        <f>Settings!$A$1</f>
        <v>V2</v>
      </c>
    </row>
    <row r="45" spans="1:43" ht="12.75" customHeight="1" x14ac:dyDescent="0.2">
      <c r="A45" s="439">
        <f>'Input-FX Rates'!$C$4</f>
        <v>242</v>
      </c>
      <c r="B45" s="439" t="str">
        <f>'Input-FX Rates'!$B$4</f>
        <v>ICH Icheon (242)</v>
      </c>
      <c r="C45" s="439">
        <f>'Input-FX Rates'!$C$6</f>
        <v>750</v>
      </c>
      <c r="D45" s="439" t="str">
        <f>'Input-FX Rates'!$B$6</f>
        <v>750 BU Sensorics &amp; Controls</v>
      </c>
      <c r="E45" s="439" t="str">
        <f>'Input-FX Rates'!$C$5</f>
        <v>7521 &amp; 7522</v>
      </c>
      <c r="F45" s="439" t="str">
        <f>'Input-FX Rates'!$B$5</f>
        <v>7521 &amp; 7522 PL Mechatronic Sensors (&amp; Electrification)</v>
      </c>
      <c r="G45" s="439" t="s">
        <v>1413</v>
      </c>
      <c r="H45" s="439" t="s">
        <v>273</v>
      </c>
      <c r="I45" s="523"/>
      <c r="J45" s="523"/>
      <c r="K45" s="524">
        <f>'2. Variable (GC)'!B16</f>
        <v>-98.558169688609254</v>
      </c>
      <c r="L45" s="524">
        <f>'2. Variable (GC)'!C16</f>
        <v>-212.87887994197882</v>
      </c>
      <c r="M45" s="524">
        <f>'2. Variable (GC)'!D16</f>
        <v>0</v>
      </c>
      <c r="N45" s="524">
        <f>'2. Variable (GC)'!E16</f>
        <v>-212.87887994197882</v>
      </c>
      <c r="O45" s="524">
        <f>'2. Variable (GC)'!N16</f>
        <v>-129.40859103448275</v>
      </c>
      <c r="P45" s="524">
        <f>'2. Variable (GC)'!M16</f>
        <v>0</v>
      </c>
      <c r="Q45" s="524">
        <f>'2. Variable (GC)'!F16</f>
        <v>10.352785927426458</v>
      </c>
      <c r="R45" s="524">
        <f>'2. Variable (GC)'!G16</f>
        <v>68.847165565796232</v>
      </c>
      <c r="S45" s="524">
        <f>'2. Variable (GC)'!H16</f>
        <v>0</v>
      </c>
      <c r="T45" s="524">
        <f>'2. Variable (GC)'!I16</f>
        <v>0</v>
      </c>
      <c r="U45" s="524">
        <f>'2. Variable (GC)'!K16</f>
        <v>0</v>
      </c>
      <c r="V45" s="524">
        <f>'2. Variable (GC)'!L16</f>
        <v>4.2703374142733992</v>
      </c>
      <c r="W45" s="523"/>
      <c r="X45" s="523"/>
      <c r="Y45" s="523"/>
      <c r="Z45" s="523"/>
      <c r="AA45" s="523"/>
      <c r="AB45" s="523"/>
      <c r="AC45" s="523"/>
      <c r="AD45" s="523"/>
      <c r="AE45" s="523"/>
      <c r="AF45" s="523"/>
      <c r="AG45" s="523"/>
      <c r="AH45" s="523"/>
      <c r="AI45" s="523"/>
      <c r="AJ45" s="523"/>
      <c r="AK45" s="523"/>
      <c r="AL45" s="523"/>
      <c r="AM45" s="523"/>
      <c r="AN45" s="523"/>
      <c r="AO45" s="439" t="str">
        <f>'2. Variable (GC)'!P16</f>
        <v>-</v>
      </c>
      <c r="AP45" s="439">
        <v>21</v>
      </c>
      <c r="AQ45" s="439" t="str">
        <f>Settings!$A$1</f>
        <v>V2</v>
      </c>
    </row>
    <row r="46" spans="1:43" ht="12.75" customHeight="1" x14ac:dyDescent="0.2">
      <c r="A46" s="439">
        <f>'Input-FX Rates'!$C$4</f>
        <v>242</v>
      </c>
      <c r="B46" s="439" t="str">
        <f>'Input-FX Rates'!$B$4</f>
        <v>ICH Icheon (242)</v>
      </c>
      <c r="C46" s="439">
        <f>'Input-FX Rates'!$C$6</f>
        <v>750</v>
      </c>
      <c r="D46" s="439" t="str">
        <f>'Input-FX Rates'!$B$6</f>
        <v>750 BU Sensorics &amp; Controls</v>
      </c>
      <c r="E46" s="439" t="str">
        <f>'Input-FX Rates'!$C$5</f>
        <v>7521 &amp; 7522</v>
      </c>
      <c r="F46" s="439" t="str">
        <f>'Input-FX Rates'!$B$5</f>
        <v>7521 &amp; 7522 PL Mechatronic Sensors (&amp; Electrification)</v>
      </c>
      <c r="G46" s="439" t="s">
        <v>1413</v>
      </c>
      <c r="H46" s="439" t="s">
        <v>275</v>
      </c>
      <c r="I46" s="523"/>
      <c r="J46" s="523"/>
      <c r="K46" s="524">
        <f>'2. Variable (GC)'!B17</f>
        <v>-487.3406219031811</v>
      </c>
      <c r="L46" s="524">
        <f>'2. Variable (GC)'!C17</f>
        <v>-955.30915696692216</v>
      </c>
      <c r="M46" s="524">
        <f>'2. Variable (GC)'!D17</f>
        <v>0</v>
      </c>
      <c r="N46" s="524">
        <f>'2. Variable (GC)'!E17</f>
        <v>-955.30915696692216</v>
      </c>
      <c r="O46" s="524">
        <f>'2. Variable (GC)'!N17</f>
        <v>-943.51124413793104</v>
      </c>
      <c r="P46" s="524">
        <f>'2. Variable (GC)'!M17</f>
        <v>0</v>
      </c>
      <c r="Q46" s="524">
        <f>'2. Variable (GC)'!F17</f>
        <v>46.45787750477114</v>
      </c>
      <c r="R46" s="524">
        <f>'2. Variable (GC)'!G17</f>
        <v>0</v>
      </c>
      <c r="S46" s="524">
        <f>'2. Variable (GC)'!H17</f>
        <v>-35.228170484130828</v>
      </c>
      <c r="T46" s="524">
        <f>'2. Variable (GC)'!I17</f>
        <v>0</v>
      </c>
      <c r="U46" s="524">
        <f>'2. Variable (GC)'!K17</f>
        <v>-30.566600114667299</v>
      </c>
      <c r="V46" s="524">
        <f>'2. Variable (GC)'!L17</f>
        <v>31.134805923018121</v>
      </c>
      <c r="W46" s="523"/>
      <c r="X46" s="523"/>
      <c r="Y46" s="523"/>
      <c r="Z46" s="523"/>
      <c r="AA46" s="523"/>
      <c r="AB46" s="523"/>
      <c r="AC46" s="523"/>
      <c r="AD46" s="523"/>
      <c r="AE46" s="523"/>
      <c r="AF46" s="523"/>
      <c r="AG46" s="523"/>
      <c r="AH46" s="523"/>
      <c r="AI46" s="523"/>
      <c r="AJ46" s="523"/>
      <c r="AK46" s="523"/>
      <c r="AL46" s="523"/>
      <c r="AM46" s="523"/>
      <c r="AN46" s="523"/>
      <c r="AO46" s="439" t="str">
        <f>'2. Variable (GC)'!P17</f>
        <v/>
      </c>
      <c r="AP46" s="439">
        <v>22</v>
      </c>
      <c r="AQ46" s="439" t="str">
        <f>Settings!$A$1</f>
        <v>V2</v>
      </c>
    </row>
    <row r="47" spans="1:43" ht="12.75" customHeight="1" x14ac:dyDescent="0.2">
      <c r="A47" s="439">
        <f>'Input-FX Rates'!$C$4</f>
        <v>242</v>
      </c>
      <c r="B47" s="439" t="str">
        <f>'Input-FX Rates'!$B$4</f>
        <v>ICH Icheon (242)</v>
      </c>
      <c r="C47" s="439">
        <f>'Input-FX Rates'!$C$6</f>
        <v>750</v>
      </c>
      <c r="D47" s="439" t="str">
        <f>'Input-FX Rates'!$B$6</f>
        <v>750 BU Sensorics &amp; Controls</v>
      </c>
      <c r="E47" s="439" t="str">
        <f>'Input-FX Rates'!$C$5</f>
        <v>7521 &amp; 7522</v>
      </c>
      <c r="F47" s="439" t="str">
        <f>'Input-FX Rates'!$B$5</f>
        <v>7521 &amp; 7522 PL Mechatronic Sensors (&amp; Electrification)</v>
      </c>
      <c r="G47" s="439" t="s">
        <v>1413</v>
      </c>
      <c r="H47" s="439" t="s">
        <v>1416</v>
      </c>
      <c r="I47" s="523"/>
      <c r="J47" s="523"/>
      <c r="K47" s="524">
        <f>'2. Variable (GC)'!B19</f>
        <v>-418.62152780965323</v>
      </c>
      <c r="L47" s="524">
        <f>'2. Variable (GC)'!C19</f>
        <v>-811.93058183503251</v>
      </c>
      <c r="M47" s="524">
        <f>'2. Variable (GC)'!D19</f>
        <v>0</v>
      </c>
      <c r="N47" s="524">
        <f>'2. Variable (GC)'!E19</f>
        <v>-811.93058183503251</v>
      </c>
      <c r="O47" s="524">
        <f>'2. Variable (GC)'!N19</f>
        <v>-799.98717655172413</v>
      </c>
      <c r="P47" s="524">
        <f>'2. Variable (GC)'!M19</f>
        <v>0</v>
      </c>
      <c r="Q47" s="524">
        <f>'2. Variable (GC)'!F19</f>
        <v>39.485491331379812</v>
      </c>
      <c r="R47" s="524">
        <f>'2. Variable (GC)'!G19</f>
        <v>0</v>
      </c>
      <c r="S47" s="524">
        <f>'2. Variable (GC)'!H19</f>
        <v>-29.869368082022241</v>
      </c>
      <c r="T47" s="524">
        <f>'2. Variable (GC)'!I19</f>
        <v>0</v>
      </c>
      <c r="U47" s="524">
        <f>'2. Variable (GC)'!K19</f>
        <v>-24.071391683603597</v>
      </c>
      <c r="V47" s="524">
        <f>'2. Variable (GC)'!L19</f>
        <v>26.398673717554402</v>
      </c>
      <c r="W47" s="523"/>
      <c r="X47" s="523"/>
      <c r="Y47" s="523"/>
      <c r="Z47" s="523"/>
      <c r="AA47" s="523"/>
      <c r="AB47" s="523"/>
      <c r="AC47" s="523"/>
      <c r="AD47" s="523"/>
      <c r="AE47" s="523"/>
      <c r="AF47" s="523"/>
      <c r="AG47" s="523"/>
      <c r="AH47" s="523"/>
      <c r="AI47" s="523"/>
      <c r="AJ47" s="523"/>
      <c r="AK47" s="523"/>
      <c r="AL47" s="523"/>
      <c r="AM47" s="523"/>
      <c r="AN47" s="523"/>
      <c r="AO47" s="439" t="str">
        <f>'2. Variable (GC)'!P19</f>
        <v>1 operator HC increase(quality inspector)</v>
      </c>
      <c r="AP47" s="439">
        <v>23</v>
      </c>
      <c r="AQ47" s="439" t="str">
        <f>Settings!$A$1</f>
        <v>V2</v>
      </c>
    </row>
    <row r="48" spans="1:43" ht="12.75" customHeight="1" x14ac:dyDescent="0.2">
      <c r="A48" s="439">
        <f>'Input-FX Rates'!$C$4</f>
        <v>242</v>
      </c>
      <c r="B48" s="439" t="str">
        <f>'Input-FX Rates'!$B$4</f>
        <v>ICH Icheon (242)</v>
      </c>
      <c r="C48" s="439">
        <f>'Input-FX Rates'!$C$6</f>
        <v>750</v>
      </c>
      <c r="D48" s="439" t="str">
        <f>'Input-FX Rates'!$B$6</f>
        <v>750 BU Sensorics &amp; Controls</v>
      </c>
      <c r="E48" s="439" t="str">
        <f>'Input-FX Rates'!$C$5</f>
        <v>7521 &amp; 7522</v>
      </c>
      <c r="F48" s="439" t="str">
        <f>'Input-FX Rates'!$B$5</f>
        <v>7521 &amp; 7522 PL Mechatronic Sensors (&amp; Electrification)</v>
      </c>
      <c r="G48" s="439" t="s">
        <v>1413</v>
      </c>
      <c r="H48" s="439" t="s">
        <v>1417</v>
      </c>
      <c r="I48" s="523"/>
      <c r="J48" s="523"/>
      <c r="K48" s="524">
        <f>'2. Variable (GC)'!B20</f>
        <v>-68.719094093527801</v>
      </c>
      <c r="L48" s="524">
        <f>'2. Variable (GC)'!C20</f>
        <v>-143.37857513188953</v>
      </c>
      <c r="M48" s="524">
        <f>'2. Variable (GC)'!D20</f>
        <v>0</v>
      </c>
      <c r="N48" s="524">
        <f>'2. Variable (GC)'!E20</f>
        <v>-143.37857513188953</v>
      </c>
      <c r="O48" s="524">
        <f>'2. Variable (GC)'!N20</f>
        <v>-143.52406758620688</v>
      </c>
      <c r="P48" s="524">
        <f>'2. Variable (GC)'!M20</f>
        <v>0</v>
      </c>
      <c r="Q48" s="524">
        <f>'2. Variable (GC)'!F20</f>
        <v>6.9723861733913255</v>
      </c>
      <c r="R48" s="524">
        <f>'2. Variable (GC)'!G20</f>
        <v>0</v>
      </c>
      <c r="S48" s="524">
        <f>'2. Variable (GC)'!H20</f>
        <v>-5.3588024021085872</v>
      </c>
      <c r="T48" s="524">
        <f>'2. Variable (GC)'!I20</f>
        <v>0</v>
      </c>
      <c r="U48" s="524">
        <f>'2. Variable (GC)'!K20</f>
        <v>-6.4952084310637028</v>
      </c>
      <c r="V48" s="524">
        <f>'2. Variable (GC)'!L20</f>
        <v>4.7361322054636048</v>
      </c>
      <c r="W48" s="523"/>
      <c r="X48" s="523"/>
      <c r="Y48" s="523"/>
      <c r="Z48" s="523"/>
      <c r="AA48" s="523"/>
      <c r="AB48" s="523"/>
      <c r="AC48" s="523"/>
      <c r="AD48" s="523"/>
      <c r="AE48" s="523"/>
      <c r="AF48" s="523"/>
      <c r="AG48" s="523"/>
      <c r="AH48" s="523"/>
      <c r="AI48" s="523"/>
      <c r="AJ48" s="523"/>
      <c r="AK48" s="523"/>
      <c r="AL48" s="523"/>
      <c r="AM48" s="523"/>
      <c r="AN48" s="523"/>
      <c r="AO48" s="439" t="str">
        <f>'2. Variable (GC)'!P20</f>
        <v>-</v>
      </c>
      <c r="AP48" s="439">
        <v>24</v>
      </c>
      <c r="AQ48" s="439" t="str">
        <f>Settings!$A$1</f>
        <v>V2</v>
      </c>
    </row>
    <row r="49" spans="1:43" ht="12.75" customHeight="1" x14ac:dyDescent="0.2">
      <c r="A49" s="439">
        <f>'Input-FX Rates'!$C$4</f>
        <v>242</v>
      </c>
      <c r="B49" s="439" t="str">
        <f>'Input-FX Rates'!$B$4</f>
        <v>ICH Icheon (242)</v>
      </c>
      <c r="C49" s="439">
        <f>'Input-FX Rates'!$C$6</f>
        <v>750</v>
      </c>
      <c r="D49" s="439" t="str">
        <f>'Input-FX Rates'!$B$6</f>
        <v>750 BU Sensorics &amp; Controls</v>
      </c>
      <c r="E49" s="439" t="str">
        <f>'Input-FX Rates'!$C$5</f>
        <v>7521 &amp; 7522</v>
      </c>
      <c r="F49" s="439" t="str">
        <f>'Input-FX Rates'!$B$5</f>
        <v>7521 &amp; 7522 PL Mechatronic Sensors (&amp; Electrification)</v>
      </c>
      <c r="G49" s="439" t="s">
        <v>1413</v>
      </c>
      <c r="H49" s="439" t="s">
        <v>1418</v>
      </c>
      <c r="I49" s="523"/>
      <c r="J49" s="523"/>
      <c r="K49" s="524">
        <f>'2. Variable (GC)'!B21</f>
        <v>0</v>
      </c>
      <c r="L49" s="524">
        <f>'2. Variable (GC)'!C21</f>
        <v>0</v>
      </c>
      <c r="M49" s="524">
        <f>'2. Variable (GC)'!D21</f>
        <v>0</v>
      </c>
      <c r="N49" s="524">
        <f>'2. Variable (GC)'!E21</f>
        <v>0</v>
      </c>
      <c r="O49" s="524">
        <f>'2. Variable (GC)'!N21</f>
        <v>0</v>
      </c>
      <c r="P49" s="524">
        <f>'2. Variable (GC)'!M21</f>
        <v>0</v>
      </c>
      <c r="Q49" s="524">
        <f>'2. Variable (GC)'!F21</f>
        <v>0</v>
      </c>
      <c r="R49" s="524">
        <f>'2. Variable (GC)'!G21</f>
        <v>0</v>
      </c>
      <c r="S49" s="524">
        <f>'2. Variable (GC)'!H21</f>
        <v>0</v>
      </c>
      <c r="T49" s="524">
        <f>'2. Variable (GC)'!I21</f>
        <v>0</v>
      </c>
      <c r="U49" s="524">
        <f>'2. Variable (GC)'!K21</f>
        <v>0</v>
      </c>
      <c r="V49" s="524">
        <f>'2. Variable (GC)'!L21</f>
        <v>0</v>
      </c>
      <c r="W49" s="523"/>
      <c r="X49" s="523"/>
      <c r="Y49" s="523"/>
      <c r="Z49" s="523"/>
      <c r="AA49" s="523"/>
      <c r="AB49" s="523"/>
      <c r="AC49" s="523"/>
      <c r="AD49" s="523"/>
      <c r="AE49" s="523"/>
      <c r="AF49" s="523"/>
      <c r="AG49" s="523"/>
      <c r="AH49" s="523"/>
      <c r="AI49" s="523"/>
      <c r="AJ49" s="523"/>
      <c r="AK49" s="523"/>
      <c r="AL49" s="523"/>
      <c r="AM49" s="523"/>
      <c r="AN49" s="523"/>
      <c r="AO49" s="439">
        <f>'2. Variable (GC)'!P21</f>
        <v>0</v>
      </c>
      <c r="AP49" s="439">
        <v>1024</v>
      </c>
      <c r="AQ49" s="439" t="s">
        <v>1419</v>
      </c>
    </row>
    <row r="50" spans="1:43" ht="12.75" customHeight="1" x14ac:dyDescent="0.2">
      <c r="A50" s="439">
        <f>'Input-FX Rates'!$C$4</f>
        <v>242</v>
      </c>
      <c r="B50" s="439" t="str">
        <f>'Input-FX Rates'!$B$4</f>
        <v>ICH Icheon (242)</v>
      </c>
      <c r="C50" s="439">
        <f>'Input-FX Rates'!$C$6</f>
        <v>750</v>
      </c>
      <c r="D50" s="439" t="str">
        <f>'Input-FX Rates'!$B$6</f>
        <v>750 BU Sensorics &amp; Controls</v>
      </c>
      <c r="E50" s="439" t="str">
        <f>'Input-FX Rates'!$C$5</f>
        <v>7521 &amp; 7522</v>
      </c>
      <c r="F50" s="439" t="str">
        <f>'Input-FX Rates'!$B$5</f>
        <v>7521 &amp; 7522 PL Mechatronic Sensors (&amp; Electrification)</v>
      </c>
      <c r="G50" s="439" t="s">
        <v>1413</v>
      </c>
      <c r="H50" s="439" t="s">
        <v>283</v>
      </c>
      <c r="I50" s="523"/>
      <c r="J50" s="523"/>
      <c r="K50" s="524">
        <f>'2. Variable (GC)'!B22</f>
        <v>-441.43861284267143</v>
      </c>
      <c r="L50" s="524">
        <f>'2. Variable (GC)'!C22</f>
        <v>-805.10955076371795</v>
      </c>
      <c r="M50" s="524">
        <f>'2. Variable (GC)'!D22</f>
        <v>-152.79020618625404</v>
      </c>
      <c r="N50" s="524">
        <f>'2. Variable (GC)'!E22</f>
        <v>-652.31934457746399</v>
      </c>
      <c r="O50" s="524">
        <f>'2. Variable (GC)'!N22</f>
        <v>-704.9595771803954</v>
      </c>
      <c r="P50" s="524">
        <f>'2. Variable (GC)'!M22</f>
        <v>0</v>
      </c>
      <c r="Q50" s="524">
        <f>'2. Variable (GC)'!F22</f>
        <v>31.723039124853617</v>
      </c>
      <c r="R50" s="524">
        <f>'2. Variable (GC)'!G22</f>
        <v>0</v>
      </c>
      <c r="S50" s="524">
        <f>'2. Variable (GC)'!H22</f>
        <v>-9.5067019255595149</v>
      </c>
      <c r="T50" s="524">
        <f>'2. Variable (GC)'!I22</f>
        <v>0</v>
      </c>
      <c r="U50" s="524">
        <f>'2. Variable (GC)'!K22</f>
        <v>-98.119440017554879</v>
      </c>
      <c r="V50" s="524">
        <f>'2. Variable (GC)'!L22</f>
        <v>23.262870215329258</v>
      </c>
      <c r="W50" s="523"/>
      <c r="X50" s="523"/>
      <c r="Y50" s="523"/>
      <c r="Z50" s="523"/>
      <c r="AA50" s="523"/>
      <c r="AB50" s="523"/>
      <c r="AC50" s="523"/>
      <c r="AD50" s="523"/>
      <c r="AE50" s="523"/>
      <c r="AF50" s="523"/>
      <c r="AG50" s="523"/>
      <c r="AH50" s="523"/>
      <c r="AI50" s="523"/>
      <c r="AJ50" s="523"/>
      <c r="AK50" s="523"/>
      <c r="AL50" s="523"/>
      <c r="AM50" s="523"/>
      <c r="AN50" s="523"/>
      <c r="AO50" s="439" t="str">
        <f>'2. Variable (GC)'!P22</f>
        <v/>
      </c>
      <c r="AP50" s="439">
        <v>25</v>
      </c>
      <c r="AQ50" s="439" t="str">
        <f>Settings!$A$1</f>
        <v>V2</v>
      </c>
    </row>
    <row r="51" spans="1:43" ht="12.75" customHeight="1" x14ac:dyDescent="0.2">
      <c r="A51" s="439">
        <f>'Input-FX Rates'!$C$4</f>
        <v>242</v>
      </c>
      <c r="B51" s="439" t="str">
        <f>'Input-FX Rates'!$B$4</f>
        <v>ICH Icheon (242)</v>
      </c>
      <c r="C51" s="439">
        <f>'Input-FX Rates'!$C$6</f>
        <v>750</v>
      </c>
      <c r="D51" s="439" t="str">
        <f>'Input-FX Rates'!$B$6</f>
        <v>750 BU Sensorics &amp; Controls</v>
      </c>
      <c r="E51" s="439" t="str">
        <f>'Input-FX Rates'!$C$5</f>
        <v>7521 &amp; 7522</v>
      </c>
      <c r="F51" s="439" t="str">
        <f>'Input-FX Rates'!$B$5</f>
        <v>7521 &amp; 7522 PL Mechatronic Sensors (&amp; Electrification)</v>
      </c>
      <c r="G51" s="439" t="s">
        <v>1413</v>
      </c>
      <c r="H51" s="439" t="s">
        <v>284</v>
      </c>
      <c r="I51" s="523"/>
      <c r="J51" s="523"/>
      <c r="K51" s="524">
        <f>'2. Variable (GC)'!B24</f>
        <v>0</v>
      </c>
      <c r="L51" s="524">
        <f>'2. Variable (GC)'!C24</f>
        <v>0</v>
      </c>
      <c r="M51" s="524">
        <f>'2. Variable (GC)'!D24</f>
        <v>0</v>
      </c>
      <c r="N51" s="524">
        <f>'2. Variable (GC)'!E24</f>
        <v>0</v>
      </c>
      <c r="O51" s="524">
        <f>'2. Variable (GC)'!N24</f>
        <v>0</v>
      </c>
      <c r="P51" s="524">
        <f>'2. Variable (GC)'!M24</f>
        <v>0</v>
      </c>
      <c r="Q51" s="524">
        <f>'2. Variable (GC)'!F24</f>
        <v>0</v>
      </c>
      <c r="R51" s="524">
        <f>'2. Variable (GC)'!G24</f>
        <v>0</v>
      </c>
      <c r="S51" s="524">
        <f>'2. Variable (GC)'!H24</f>
        <v>0</v>
      </c>
      <c r="T51" s="524">
        <f>'2. Variable (GC)'!I24</f>
        <v>0</v>
      </c>
      <c r="U51" s="524">
        <f>'2. Variable (GC)'!K24</f>
        <v>0</v>
      </c>
      <c r="V51" s="524">
        <f>'2. Variable (GC)'!L24</f>
        <v>0</v>
      </c>
      <c r="W51" s="523"/>
      <c r="X51" s="523"/>
      <c r="Y51" s="523"/>
      <c r="Z51" s="523"/>
      <c r="AA51" s="523"/>
      <c r="AB51" s="523"/>
      <c r="AC51" s="523"/>
      <c r="AD51" s="523"/>
      <c r="AE51" s="523"/>
      <c r="AF51" s="523"/>
      <c r="AG51" s="523"/>
      <c r="AH51" s="523"/>
      <c r="AI51" s="523"/>
      <c r="AJ51" s="523"/>
      <c r="AK51" s="523"/>
      <c r="AL51" s="523"/>
      <c r="AM51" s="523"/>
      <c r="AN51" s="523"/>
      <c r="AO51" s="439" t="str">
        <f>'2. Variable (GC)'!P24</f>
        <v>-</v>
      </c>
      <c r="AP51" s="439">
        <v>26</v>
      </c>
      <c r="AQ51" s="439" t="str">
        <f>Settings!$A$1</f>
        <v>V2</v>
      </c>
    </row>
    <row r="52" spans="1:43" ht="12.75" customHeight="1" x14ac:dyDescent="0.2">
      <c r="A52" s="439">
        <f>'Input-FX Rates'!$C$4</f>
        <v>242</v>
      </c>
      <c r="B52" s="439" t="str">
        <f>'Input-FX Rates'!$B$4</f>
        <v>ICH Icheon (242)</v>
      </c>
      <c r="C52" s="439">
        <f>'Input-FX Rates'!$C$6</f>
        <v>750</v>
      </c>
      <c r="D52" s="439" t="str">
        <f>'Input-FX Rates'!$B$6</f>
        <v>750 BU Sensorics &amp; Controls</v>
      </c>
      <c r="E52" s="439" t="str">
        <f>'Input-FX Rates'!$C$5</f>
        <v>7521 &amp; 7522</v>
      </c>
      <c r="F52" s="439" t="str">
        <f>'Input-FX Rates'!$B$5</f>
        <v>7521 &amp; 7522 PL Mechatronic Sensors (&amp; Electrification)</v>
      </c>
      <c r="G52" s="439" t="s">
        <v>1413</v>
      </c>
      <c r="H52" s="439" t="s">
        <v>286</v>
      </c>
      <c r="I52" s="523"/>
      <c r="J52" s="523"/>
      <c r="K52" s="524">
        <f>'2. Variable (GC)'!B25</f>
        <v>-13.465158701401869</v>
      </c>
      <c r="L52" s="524">
        <f>'2. Variable (GC)'!C25</f>
        <v>-26.170576145289051</v>
      </c>
      <c r="M52" s="524">
        <f>'2. Variable (GC)'!D25</f>
        <v>0</v>
      </c>
      <c r="N52" s="524">
        <f>'2. Variable (GC)'!E25</f>
        <v>-26.170576145289051</v>
      </c>
      <c r="O52" s="524">
        <f>'2. Variable (GC)'!N25</f>
        <v>-36.665379999999999</v>
      </c>
      <c r="P52" s="524">
        <f>'2. Variable (GC)'!M25</f>
        <v>0</v>
      </c>
      <c r="Q52" s="524">
        <f>'2. Variable (GC)'!F25</f>
        <v>1.272369643984562</v>
      </c>
      <c r="R52" s="524">
        <f>'2. Variable (GC)'!G25</f>
        <v>0</v>
      </c>
      <c r="S52" s="524">
        <f>'2. Variable (GC)'!H25</f>
        <v>-0.60192325134164815</v>
      </c>
      <c r="T52" s="524">
        <f>'2. Variable (GC)'!I25</f>
        <v>0</v>
      </c>
      <c r="U52" s="524">
        <f>'2. Variable (GC)'!K25</f>
        <v>-12.37516639566298</v>
      </c>
      <c r="V52" s="524">
        <f>'2. Variable (GC)'!L25</f>
        <v>1.2099161483091194</v>
      </c>
      <c r="W52" s="523"/>
      <c r="X52" s="523"/>
      <c r="Y52" s="523"/>
      <c r="Z52" s="523"/>
      <c r="AA52" s="523"/>
      <c r="AB52" s="523"/>
      <c r="AC52" s="523"/>
      <c r="AD52" s="523"/>
      <c r="AE52" s="523"/>
      <c r="AF52" s="523"/>
      <c r="AG52" s="523"/>
      <c r="AH52" s="523"/>
      <c r="AI52" s="523"/>
      <c r="AJ52" s="523"/>
      <c r="AK52" s="523"/>
      <c r="AL52" s="523"/>
      <c r="AM52" s="523"/>
      <c r="AN52" s="523"/>
      <c r="AO52" s="439" t="str">
        <f>'2. Variable (GC)'!P25</f>
        <v>shortened replacement time for major spareparts(e.g. test probe, welding tips)is necessary in 2024 due to the old equipment. 10K€</v>
      </c>
      <c r="AP52" s="439">
        <v>27</v>
      </c>
      <c r="AQ52" s="439" t="str">
        <f>Settings!$A$1</f>
        <v>V2</v>
      </c>
    </row>
    <row r="53" spans="1:43" ht="12.75" customHeight="1" x14ac:dyDescent="0.2">
      <c r="A53" s="439">
        <f>'Input-FX Rates'!$C$4</f>
        <v>242</v>
      </c>
      <c r="B53" s="439" t="str">
        <f>'Input-FX Rates'!$B$4</f>
        <v>ICH Icheon (242)</v>
      </c>
      <c r="C53" s="439">
        <f>'Input-FX Rates'!$C$6</f>
        <v>750</v>
      </c>
      <c r="D53" s="439" t="str">
        <f>'Input-FX Rates'!$B$6</f>
        <v>750 BU Sensorics &amp; Controls</v>
      </c>
      <c r="E53" s="439" t="str">
        <f>'Input-FX Rates'!$C$5</f>
        <v>7521 &amp; 7522</v>
      </c>
      <c r="F53" s="439" t="str">
        <f>'Input-FX Rates'!$B$5</f>
        <v>7521 &amp; 7522 PL Mechatronic Sensors (&amp; Electrification)</v>
      </c>
      <c r="G53" s="439" t="s">
        <v>1413</v>
      </c>
      <c r="H53" s="439" t="s">
        <v>1420</v>
      </c>
      <c r="I53" s="523"/>
      <c r="J53" s="523"/>
      <c r="K53" s="524">
        <f>'2. Variable (GC)'!B26</f>
        <v>-116.19422634832478</v>
      </c>
      <c r="L53" s="524">
        <f>'2. Variable (GC)'!C26</f>
        <v>-225.83245513290515</v>
      </c>
      <c r="M53" s="524">
        <f>'2. Variable (GC)'!D26</f>
        <v>0</v>
      </c>
      <c r="N53" s="524">
        <f>'2. Variable (GC)'!E26</f>
        <v>-225.83245513290515</v>
      </c>
      <c r="O53" s="524">
        <f>'2. Variable (GC)'!N26</f>
        <v>-378.53533310344829</v>
      </c>
      <c r="P53" s="524">
        <f>'2. Variable (GC)'!M26</f>
        <v>0</v>
      </c>
      <c r="Q53" s="524">
        <f>'2. Variable (GC)'!F26</f>
        <v>10.982559032287798</v>
      </c>
      <c r="R53" s="524">
        <f>'2. Variable (GC)'!G26</f>
        <v>0</v>
      </c>
      <c r="S53" s="524">
        <f>'2. Variable (GC)'!H26</f>
        <v>-5.1941464680568181</v>
      </c>
      <c r="T53" s="524">
        <f>'2. Variable (GC)'!I26</f>
        <v>0</v>
      </c>
      <c r="U53" s="524">
        <f>'2. Variable (GC)'!K26</f>
        <v>-170.9825291971699</v>
      </c>
      <c r="V53" s="524">
        <f>'2. Variable (GC)'!L26</f>
        <v>12.491238662395745</v>
      </c>
      <c r="W53" s="523"/>
      <c r="X53" s="523"/>
      <c r="Y53" s="523"/>
      <c r="Z53" s="523"/>
      <c r="AA53" s="523"/>
      <c r="AB53" s="523"/>
      <c r="AC53" s="523"/>
      <c r="AD53" s="523"/>
      <c r="AE53" s="523"/>
      <c r="AF53" s="523"/>
      <c r="AG53" s="523"/>
      <c r="AH53" s="523"/>
      <c r="AI53" s="523"/>
      <c r="AJ53" s="523"/>
      <c r="AK53" s="523"/>
      <c r="AL53" s="523"/>
      <c r="AM53" s="523"/>
      <c r="AN53" s="523"/>
      <c r="AO53" s="439" t="str">
        <f>'2. Variable (GC)'!P26</f>
        <v>Technician HC 2 increase impact &amp; General Maintenance cost increase impact</v>
      </c>
      <c r="AP53" s="439">
        <v>28</v>
      </c>
      <c r="AQ53" s="439" t="str">
        <f>Settings!$A$1</f>
        <v>V2</v>
      </c>
    </row>
    <row r="54" spans="1:43" ht="12.75" customHeight="1" x14ac:dyDescent="0.2">
      <c r="A54" s="439">
        <f>'Input-FX Rates'!$C$4</f>
        <v>242</v>
      </c>
      <c r="B54" s="439" t="str">
        <f>'Input-FX Rates'!$B$4</f>
        <v>ICH Icheon (242)</v>
      </c>
      <c r="C54" s="439">
        <f>'Input-FX Rates'!$C$6</f>
        <v>750</v>
      </c>
      <c r="D54" s="439" t="str">
        <f>'Input-FX Rates'!$B$6</f>
        <v>750 BU Sensorics &amp; Controls</v>
      </c>
      <c r="E54" s="439" t="str">
        <f>'Input-FX Rates'!$C$5</f>
        <v>7521 &amp; 7522</v>
      </c>
      <c r="F54" s="439" t="str">
        <f>'Input-FX Rates'!$B$5</f>
        <v>7521 &amp; 7522 PL Mechatronic Sensors (&amp; Electrification)</v>
      </c>
      <c r="G54" s="439" t="s">
        <v>1413</v>
      </c>
      <c r="H54" s="439" t="s">
        <v>1421</v>
      </c>
      <c r="I54" s="523"/>
      <c r="J54" s="523"/>
      <c r="K54" s="524">
        <f>'2. Variable (GC)'!B27</f>
        <v>-24.915952267303922</v>
      </c>
      <c r="L54" s="524">
        <f>'2. Variable (GC)'!C27</f>
        <v>-57.191260325162105</v>
      </c>
      <c r="M54" s="524">
        <f>'2. Variable (GC)'!D27</f>
        <v>0</v>
      </c>
      <c r="N54" s="524">
        <f>'2. Variable (GC)'!E27</f>
        <v>-57.191260325162105</v>
      </c>
      <c r="O54" s="524">
        <f>'2. Variable (GC)'!N27</f>
        <v>-71.841941167346903</v>
      </c>
      <c r="P54" s="524">
        <f>'2. Variable (GC)'!M27</f>
        <v>0</v>
      </c>
      <c r="Q54" s="524">
        <f>'2. Variable (GC)'!F27</f>
        <v>2.7812604087994006</v>
      </c>
      <c r="R54" s="524">
        <f>'2. Variable (GC)'!G27</f>
        <v>0</v>
      </c>
      <c r="S54" s="524">
        <f>'2. Variable (GC)'!H27</f>
        <v>-3.7106322061610491</v>
      </c>
      <c r="T54" s="524">
        <f>'2. Variable (GC)'!I27</f>
        <v>0</v>
      </c>
      <c r="U54" s="524">
        <f>'2. Variable (GC)'!K27</f>
        <v>-16.092012000697224</v>
      </c>
      <c r="V54" s="524">
        <f>'2. Variable (GC)'!L27</f>
        <v>2.37070295587408</v>
      </c>
      <c r="W54" s="523"/>
      <c r="X54" s="523"/>
      <c r="Y54" s="523"/>
      <c r="Z54" s="523"/>
      <c r="AA54" s="523"/>
      <c r="AB54" s="523"/>
      <c r="AC54" s="523"/>
      <c r="AD54" s="523"/>
      <c r="AE54" s="523"/>
      <c r="AF54" s="523"/>
      <c r="AG54" s="523"/>
      <c r="AH54" s="523"/>
      <c r="AI54" s="523"/>
      <c r="AJ54" s="523"/>
      <c r="AK54" s="523"/>
      <c r="AL54" s="523"/>
      <c r="AM54" s="523"/>
      <c r="AN54" s="523"/>
      <c r="AO54" s="439" t="str">
        <f>'2. Variable (GC)'!P27</f>
        <v>Occupied space increase 180 → 250sqm(39% increase, function test &amp; packaging spaces due to the quality issue) &amp; electricity tariff increase 5% compared to 2023</v>
      </c>
      <c r="AP54" s="439">
        <v>29</v>
      </c>
      <c r="AQ54" s="439" t="str">
        <f>Settings!$A$1</f>
        <v>V2</v>
      </c>
    </row>
    <row r="55" spans="1:43" ht="12.75" customHeight="1" x14ac:dyDescent="0.2">
      <c r="A55" s="439">
        <f>'Input-FX Rates'!$C$4</f>
        <v>242</v>
      </c>
      <c r="B55" s="439" t="str">
        <f>'Input-FX Rates'!$B$4</f>
        <v>ICH Icheon (242)</v>
      </c>
      <c r="C55" s="439">
        <f>'Input-FX Rates'!$C$6</f>
        <v>750</v>
      </c>
      <c r="D55" s="439" t="str">
        <f>'Input-FX Rates'!$B$6</f>
        <v>750 BU Sensorics &amp; Controls</v>
      </c>
      <c r="E55" s="439" t="str">
        <f>'Input-FX Rates'!$C$5</f>
        <v>7521 &amp; 7522</v>
      </c>
      <c r="F55" s="439" t="str">
        <f>'Input-FX Rates'!$B$5</f>
        <v>7521 &amp; 7522 PL Mechatronic Sensors (&amp; Electrification)</v>
      </c>
      <c r="G55" s="439" t="s">
        <v>1413</v>
      </c>
      <c r="H55" s="439" t="s">
        <v>294</v>
      </c>
      <c r="I55" s="523"/>
      <c r="J55" s="523"/>
      <c r="K55" s="524">
        <f>'2. Variable (GC)'!B28</f>
        <v>-275.41084367195242</v>
      </c>
      <c r="L55" s="524">
        <f>'2. Variable (GC)'!C28</f>
        <v>-484.48589534532607</v>
      </c>
      <c r="M55" s="524">
        <f>'2. Variable (GC)'!D28</f>
        <v>-152.79020618625404</v>
      </c>
      <c r="N55" s="524">
        <f>'2. Variable (GC)'!E28</f>
        <v>-331.69568915907212</v>
      </c>
      <c r="O55" s="524">
        <f>'2. Variable (GC)'!N28</f>
        <v>-217.91692290960029</v>
      </c>
      <c r="P55" s="524">
        <f>'2. Variable (GC)'!M28</f>
        <v>0</v>
      </c>
      <c r="Q55" s="524">
        <f>'2. Variable (GC)'!F28</f>
        <v>16.131167888433616</v>
      </c>
      <c r="R55" s="524">
        <f>'2. Variable (GC)'!G28</f>
        <v>0</v>
      </c>
      <c r="S55" s="524">
        <f>'2. Variable (GC)'!H28</f>
        <v>0</v>
      </c>
      <c r="T55" s="524">
        <f>'2. Variable (GC)'!I28</f>
        <v>0</v>
      </c>
      <c r="U55" s="524">
        <f>'2. Variable (GC)'!K28</f>
        <v>90.456585912287963</v>
      </c>
      <c r="V55" s="524">
        <f>'2. Variable (GC)'!L28</f>
        <v>7.1910124487502571</v>
      </c>
      <c r="W55" s="523"/>
      <c r="X55" s="523"/>
      <c r="Y55" s="523"/>
      <c r="Z55" s="523"/>
      <c r="AA55" s="523"/>
      <c r="AB55" s="523"/>
      <c r="AC55" s="523"/>
      <c r="AD55" s="523"/>
      <c r="AE55" s="523"/>
      <c r="AF55" s="523"/>
      <c r="AG55" s="523"/>
      <c r="AH55" s="523"/>
      <c r="AI55" s="523"/>
      <c r="AJ55" s="523"/>
      <c r="AK55" s="523"/>
      <c r="AL55" s="523"/>
      <c r="AM55" s="523"/>
      <c r="AN55" s="523"/>
      <c r="AO55" s="439" t="str">
        <f>'2. Variable (GC)'!P28</f>
        <v>-</v>
      </c>
      <c r="AP55" s="439">
        <v>30</v>
      </c>
      <c r="AQ55" s="439" t="str">
        <f>Settings!$A$1</f>
        <v>V2</v>
      </c>
    </row>
    <row r="56" spans="1:43" ht="12.75" customHeight="1" x14ac:dyDescent="0.2">
      <c r="A56" s="439">
        <f>'Input-FX Rates'!$C$4</f>
        <v>242</v>
      </c>
      <c r="B56" s="439" t="str">
        <f>'Input-FX Rates'!$B$4</f>
        <v>ICH Icheon (242)</v>
      </c>
      <c r="C56" s="439">
        <f>'Input-FX Rates'!$C$6</f>
        <v>750</v>
      </c>
      <c r="D56" s="439" t="str">
        <f>'Input-FX Rates'!$B$6</f>
        <v>750 BU Sensorics &amp; Controls</v>
      </c>
      <c r="E56" s="439" t="str">
        <f>'Input-FX Rates'!$C$5</f>
        <v>7521 &amp; 7522</v>
      </c>
      <c r="F56" s="439" t="str">
        <f>'Input-FX Rates'!$B$5</f>
        <v>7521 &amp; 7522 PL Mechatronic Sensors (&amp; Electrification)</v>
      </c>
      <c r="G56" s="439" t="s">
        <v>1413</v>
      </c>
      <c r="H56" s="439" t="s">
        <v>296</v>
      </c>
      <c r="I56" s="523"/>
      <c r="J56" s="523"/>
      <c r="K56" s="524">
        <f>'2. Variable (GC)'!B29</f>
        <v>0</v>
      </c>
      <c r="L56" s="524">
        <f>'2. Variable (GC)'!C29</f>
        <v>0</v>
      </c>
      <c r="M56" s="524">
        <f>'2. Variable (GC)'!D29</f>
        <v>0</v>
      </c>
      <c r="N56" s="524">
        <f>'2. Variable (GC)'!E29</f>
        <v>0</v>
      </c>
      <c r="O56" s="524">
        <f>'2. Variable (GC)'!N29</f>
        <v>0</v>
      </c>
      <c r="P56" s="524">
        <f>'2. Variable (GC)'!M29</f>
        <v>0</v>
      </c>
      <c r="Q56" s="524">
        <f>'2. Variable (GC)'!F29</f>
        <v>0</v>
      </c>
      <c r="R56" s="524">
        <f>'2. Variable (GC)'!G29</f>
        <v>0</v>
      </c>
      <c r="S56" s="524">
        <f>'2. Variable (GC)'!H29</f>
        <v>0</v>
      </c>
      <c r="T56" s="524">
        <f>'2. Variable (GC)'!I29</f>
        <v>0</v>
      </c>
      <c r="U56" s="524">
        <f>'2. Variable (GC)'!K29</f>
        <v>0</v>
      </c>
      <c r="V56" s="524">
        <f>'2. Variable (GC)'!L29</f>
        <v>0</v>
      </c>
      <c r="W56" s="523"/>
      <c r="X56" s="523"/>
      <c r="Y56" s="523"/>
      <c r="Z56" s="523"/>
      <c r="AA56" s="523"/>
      <c r="AB56" s="523"/>
      <c r="AC56" s="523"/>
      <c r="AD56" s="523"/>
      <c r="AE56" s="523"/>
      <c r="AF56" s="523"/>
      <c r="AG56" s="523"/>
      <c r="AH56" s="523"/>
      <c r="AI56" s="523"/>
      <c r="AJ56" s="523"/>
      <c r="AK56" s="523"/>
      <c r="AL56" s="523"/>
      <c r="AM56" s="523"/>
      <c r="AN56" s="523"/>
      <c r="AO56" s="439">
        <f>'2. Variable (GC)'!P29</f>
        <v>0</v>
      </c>
      <c r="AP56" s="439">
        <v>1030</v>
      </c>
      <c r="AQ56" s="439" t="str">
        <f>Settings!$A$1</f>
        <v>V2</v>
      </c>
    </row>
    <row r="57" spans="1:43" ht="12.75" customHeight="1" x14ac:dyDescent="0.2">
      <c r="A57" s="439">
        <f>'Input-FX Rates'!$C$4</f>
        <v>242</v>
      </c>
      <c r="B57" s="439" t="str">
        <f>'Input-FX Rates'!$B$4</f>
        <v>ICH Icheon (242)</v>
      </c>
      <c r="C57" s="439">
        <f>'Input-FX Rates'!$C$6</f>
        <v>750</v>
      </c>
      <c r="D57" s="439" t="str">
        <f>'Input-FX Rates'!$B$6</f>
        <v>750 BU Sensorics &amp; Controls</v>
      </c>
      <c r="E57" s="439" t="str">
        <f>'Input-FX Rates'!$C$5</f>
        <v>7521 &amp; 7522</v>
      </c>
      <c r="F57" s="439" t="str">
        <f>'Input-FX Rates'!$B$5</f>
        <v>7521 &amp; 7522 PL Mechatronic Sensors (&amp; Electrification)</v>
      </c>
      <c r="G57" s="439" t="s">
        <v>1413</v>
      </c>
      <c r="H57" s="439" t="s">
        <v>298</v>
      </c>
      <c r="I57" s="523"/>
      <c r="J57" s="523"/>
      <c r="K57" s="524">
        <f>'2. Variable (GC)'!B30</f>
        <v>-11.452431853688438</v>
      </c>
      <c r="L57" s="524">
        <f>'2. Variable (GC)'!C30</f>
        <v>-11.429363815035526</v>
      </c>
      <c r="M57" s="524">
        <f>'2. Variable (GC)'!D30</f>
        <v>0</v>
      </c>
      <c r="N57" s="524">
        <f>'2. Variable (GC)'!E30</f>
        <v>-11.429363815035526</v>
      </c>
      <c r="O57" s="524">
        <f>'2. Variable (GC)'!N30</f>
        <v>0</v>
      </c>
      <c r="P57" s="524">
        <f>'2. Variable (GC)'!M30</f>
        <v>0</v>
      </c>
      <c r="Q57" s="524">
        <f>'2. Variable (GC)'!F30</f>
        <v>0.55568215134824095</v>
      </c>
      <c r="R57" s="524">
        <f>'2. Variable (GC)'!G30</f>
        <v>0</v>
      </c>
      <c r="S57" s="524">
        <f>'2. Variable (GC)'!H30</f>
        <v>0</v>
      </c>
      <c r="T57" s="524">
        <f>'2. Variable (GC)'!I30</f>
        <v>0</v>
      </c>
      <c r="U57" s="524">
        <f>'2. Variable (GC)'!K30</f>
        <v>10.873681663687284</v>
      </c>
      <c r="V57" s="524">
        <f>'2. Variable (GC)'!L30</f>
        <v>0</v>
      </c>
      <c r="W57" s="523"/>
      <c r="X57" s="523"/>
      <c r="Y57" s="523"/>
      <c r="Z57" s="523"/>
      <c r="AA57" s="523"/>
      <c r="AB57" s="523"/>
      <c r="AC57" s="523"/>
      <c r="AD57" s="523"/>
      <c r="AE57" s="523"/>
      <c r="AF57" s="523"/>
      <c r="AG57" s="523"/>
      <c r="AH57" s="523"/>
      <c r="AI57" s="523"/>
      <c r="AJ57" s="523"/>
      <c r="AK57" s="523"/>
      <c r="AL57" s="523"/>
      <c r="AM57" s="523"/>
      <c r="AN57" s="523"/>
      <c r="AO57" s="439" t="str">
        <f>'2. Variable (GC)'!P30</f>
        <v>-</v>
      </c>
      <c r="AP57" s="439">
        <v>31</v>
      </c>
      <c r="AQ57" s="439" t="str">
        <f>Settings!$A$1</f>
        <v>V2</v>
      </c>
    </row>
    <row r="58" spans="1:43" ht="12.75" customHeight="1" x14ac:dyDescent="0.2">
      <c r="A58" s="439">
        <f>'Input-FX Rates'!$C$4</f>
        <v>242</v>
      </c>
      <c r="B58" s="439" t="str">
        <f>'Input-FX Rates'!$B$4</f>
        <v>ICH Icheon (242)</v>
      </c>
      <c r="C58" s="439">
        <f>'Input-FX Rates'!$C$6</f>
        <v>750</v>
      </c>
      <c r="D58" s="439" t="str">
        <f>'Input-FX Rates'!$B$6</f>
        <v>750 BU Sensorics &amp; Controls</v>
      </c>
      <c r="E58" s="439" t="str">
        <f>'Input-FX Rates'!$C$5</f>
        <v>7521 &amp; 7522</v>
      </c>
      <c r="F58" s="439" t="str">
        <f>'Input-FX Rates'!$B$5</f>
        <v>7521 &amp; 7522 PL Mechatronic Sensors (&amp; Electrification)</v>
      </c>
      <c r="G58" s="439" t="s">
        <v>1413</v>
      </c>
      <c r="H58" s="439" t="s">
        <v>300</v>
      </c>
      <c r="I58" s="523"/>
      <c r="J58" s="523"/>
      <c r="K58" s="524">
        <f>'2. Variable (GC)'!B31</f>
        <v>-24.391813677951223</v>
      </c>
      <c r="L58" s="524">
        <f>'2. Variable (GC)'!C31</f>
        <v>-133.48466196864479</v>
      </c>
      <c r="M58" s="524">
        <f>'2. Variable (GC)'!D31</f>
        <v>0</v>
      </c>
      <c r="N58" s="524">
        <f>'2. Variable (GC)'!E31</f>
        <v>-133.48466196864479</v>
      </c>
      <c r="O58" s="524">
        <f>'2. Variable (GC)'!N31</f>
        <v>-55.939368965517247</v>
      </c>
      <c r="P58" s="524">
        <f>'2. Variable (GC)'!M31</f>
        <v>-55.939368965517247</v>
      </c>
      <c r="Q58" s="524">
        <f>'2. Variable (GC)'!F31</f>
        <v>6.4915073885707324</v>
      </c>
      <c r="R58" s="524">
        <f>'2. Variable (GC)'!G31</f>
        <v>0</v>
      </c>
      <c r="S58" s="524">
        <f>'2. Variable (GC)'!H31</f>
        <v>0</v>
      </c>
      <c r="T58" s="524">
        <f>'2. Variable (GC)'!I31</f>
        <v>0</v>
      </c>
      <c r="U58" s="524">
        <f>'2. Variable (GC)'!K31</f>
        <v>69.207849588867163</v>
      </c>
      <c r="V58" s="524">
        <f>'2. Variable (GC)'!L31</f>
        <v>1.8459360256896602</v>
      </c>
      <c r="W58" s="523"/>
      <c r="X58" s="523"/>
      <c r="Y58" s="523"/>
      <c r="Z58" s="523"/>
      <c r="AA58" s="523"/>
      <c r="AB58" s="523"/>
      <c r="AC58" s="523"/>
      <c r="AD58" s="523"/>
      <c r="AE58" s="523"/>
      <c r="AF58" s="523"/>
      <c r="AG58" s="523"/>
      <c r="AH58" s="523"/>
      <c r="AI58" s="523"/>
      <c r="AJ58" s="523"/>
      <c r="AK58" s="523"/>
      <c r="AL58" s="523"/>
      <c r="AM58" s="523"/>
      <c r="AN58" s="523"/>
      <c r="AO58" s="439" t="str">
        <f>'2. Variable (GC)'!P31</f>
        <v>BU target</v>
      </c>
      <c r="AP58" s="439">
        <v>32</v>
      </c>
      <c r="AQ58" s="439" t="str">
        <f>Settings!$A$1</f>
        <v>V2</v>
      </c>
    </row>
    <row r="59" spans="1:43" ht="12.75" customHeight="1" x14ac:dyDescent="0.2">
      <c r="A59" s="439">
        <f>'Input-FX Rates'!$C$4</f>
        <v>242</v>
      </c>
      <c r="B59" s="439" t="str">
        <f>'Input-FX Rates'!$B$4</f>
        <v>ICH Icheon (242)</v>
      </c>
      <c r="C59" s="439">
        <f>'Input-FX Rates'!$C$6</f>
        <v>750</v>
      </c>
      <c r="D59" s="439" t="str">
        <f>'Input-FX Rates'!$B$6</f>
        <v>750 BU Sensorics &amp; Controls</v>
      </c>
      <c r="E59" s="439" t="str">
        <f>'Input-FX Rates'!$C$5</f>
        <v>7521 &amp; 7522</v>
      </c>
      <c r="F59" s="439" t="str">
        <f>'Input-FX Rates'!$B$5</f>
        <v>7521 &amp; 7522 PL Mechatronic Sensors (&amp; Electrification)</v>
      </c>
      <c r="G59" s="439" t="s">
        <v>1413</v>
      </c>
      <c r="H59" s="439" t="s">
        <v>303</v>
      </c>
      <c r="I59" s="523"/>
      <c r="J59" s="523"/>
      <c r="K59" s="524">
        <f>'2. Variable (GC)'!B32</f>
        <v>-72.260055764032529</v>
      </c>
      <c r="L59" s="524">
        <f>'2. Variable (GC)'!C32</f>
        <v>-45.744866063289891</v>
      </c>
      <c r="M59" s="524">
        <f>'2. Variable (GC)'!D32</f>
        <v>0</v>
      </c>
      <c r="N59" s="524">
        <f>'2. Variable (GC)'!E32</f>
        <v>-45.744866063289891</v>
      </c>
      <c r="O59" s="524">
        <f>'2. Variable (GC)'!N32</f>
        <v>-120.94872275862068</v>
      </c>
      <c r="P59" s="524">
        <f>'2. Variable (GC)'!M32</f>
        <v>-120.94872275862068</v>
      </c>
      <c r="Q59" s="524">
        <f>'2. Variable (GC)'!F32</f>
        <v>2.2248658444366107</v>
      </c>
      <c r="R59" s="524">
        <f>'2. Variable (GC)'!G32</f>
        <v>0</v>
      </c>
      <c r="S59" s="524">
        <f>'2. Variable (GC)'!H32</f>
        <v>0</v>
      </c>
      <c r="T59" s="524">
        <f>'2. Variable (GC)'!I32</f>
        <v>0</v>
      </c>
      <c r="U59" s="524">
        <f>'2. Variable (GC)'!K32</f>
        <v>-81.41989385131572</v>
      </c>
      <c r="V59" s="524">
        <f>'2. Variable (GC)'!L32</f>
        <v>3.991171311548328</v>
      </c>
      <c r="W59" s="523"/>
      <c r="X59" s="523"/>
      <c r="Y59" s="523"/>
      <c r="Z59" s="523"/>
      <c r="AA59" s="523"/>
      <c r="AB59" s="523"/>
      <c r="AC59" s="523"/>
      <c r="AD59" s="523"/>
      <c r="AE59" s="523"/>
      <c r="AF59" s="523"/>
      <c r="AG59" s="523"/>
      <c r="AH59" s="523"/>
      <c r="AI59" s="523"/>
      <c r="AJ59" s="523"/>
      <c r="AK59" s="523"/>
      <c r="AL59" s="523"/>
      <c r="AM59" s="523"/>
      <c r="AN59" s="523"/>
      <c r="AO59" s="439" t="str">
        <f>'2. Variable (GC)'!P32</f>
        <v>BU target</v>
      </c>
      <c r="AP59" s="439">
        <v>33</v>
      </c>
      <c r="AQ59" s="439" t="str">
        <f>Settings!$A$1</f>
        <v>V2</v>
      </c>
    </row>
    <row r="60" spans="1:43" ht="12.75" customHeight="1" x14ac:dyDescent="0.2">
      <c r="A60" s="439">
        <f>'Input-FX Rates'!$C$4</f>
        <v>242</v>
      </c>
      <c r="B60" s="439" t="str">
        <f>'Input-FX Rates'!$B$4</f>
        <v>ICH Icheon (242)</v>
      </c>
      <c r="C60" s="439">
        <f>'Input-FX Rates'!$C$6</f>
        <v>750</v>
      </c>
      <c r="D60" s="439" t="str">
        <f>'Input-FX Rates'!$B$6</f>
        <v>750 BU Sensorics &amp; Controls</v>
      </c>
      <c r="E60" s="439" t="str">
        <f>'Input-FX Rates'!$C$5</f>
        <v>7521 &amp; 7522</v>
      </c>
      <c r="F60" s="439" t="str">
        <f>'Input-FX Rates'!$B$5</f>
        <v>7521 &amp; 7522 PL Mechatronic Sensors (&amp; Electrification)</v>
      </c>
      <c r="G60" s="439" t="s">
        <v>1413</v>
      </c>
      <c r="H60" s="439" t="s">
        <v>305</v>
      </c>
      <c r="I60" s="523"/>
      <c r="J60" s="523"/>
      <c r="K60" s="524">
        <f>'2. Variable (GC)'!B33</f>
        <v>-4.1027080661538182</v>
      </c>
      <c r="L60" s="524">
        <f>'2. Variable (GC)'!C33</f>
        <v>-24.309462695682225</v>
      </c>
      <c r="M60" s="524">
        <f>'2. Variable (GC)'!D33</f>
        <v>0</v>
      </c>
      <c r="N60" s="524">
        <f>'2. Variable (GC)'!E33</f>
        <v>-24.309462695682225</v>
      </c>
      <c r="O60" s="524">
        <f>'2. Variable (GC)'!N33</f>
        <v>0</v>
      </c>
      <c r="P60" s="524">
        <f>'2. Variable (GC)'!M33</f>
        <v>0</v>
      </c>
      <c r="Q60" s="524">
        <f>'2. Variable (GC)'!F33</f>
        <v>0</v>
      </c>
      <c r="R60" s="524">
        <f>'2. Variable (GC)'!G33</f>
        <v>0</v>
      </c>
      <c r="S60" s="524">
        <f>'2. Variable (GC)'!H33</f>
        <v>0</v>
      </c>
      <c r="T60" s="524">
        <f>'2. Variable (GC)'!I33</f>
        <v>0</v>
      </c>
      <c r="U60" s="524">
        <f>'2. Variable (GC)'!K33</f>
        <v>24.309462695682225</v>
      </c>
      <c r="V60" s="524">
        <f>'2. Variable (GC)'!L33</f>
        <v>0</v>
      </c>
      <c r="W60" s="523"/>
      <c r="X60" s="523"/>
      <c r="Y60" s="523"/>
      <c r="Z60" s="523"/>
      <c r="AA60" s="523"/>
      <c r="AB60" s="523"/>
      <c r="AC60" s="523"/>
      <c r="AD60" s="523"/>
      <c r="AE60" s="523"/>
      <c r="AF60" s="523"/>
      <c r="AG60" s="523"/>
      <c r="AH60" s="523"/>
      <c r="AI60" s="523"/>
      <c r="AJ60" s="523"/>
      <c r="AK60" s="523"/>
      <c r="AL60" s="523"/>
      <c r="AM60" s="523"/>
      <c r="AN60" s="523"/>
      <c r="AO60" s="439" t="str">
        <f>'2. Variable (GC)'!P33</f>
        <v>-</v>
      </c>
      <c r="AP60" s="439">
        <v>34</v>
      </c>
      <c r="AQ60" s="439" t="str">
        <f>Settings!$A$1</f>
        <v>V2</v>
      </c>
    </row>
    <row r="61" spans="1:43" ht="12.75" customHeight="1" x14ac:dyDescent="0.2">
      <c r="A61" s="439">
        <f>'Input-FX Rates'!$C$4</f>
        <v>242</v>
      </c>
      <c r="B61" s="439" t="str">
        <f>'Input-FX Rates'!$B$4</f>
        <v>ICH Icheon (242)</v>
      </c>
      <c r="C61" s="439">
        <f>'Input-FX Rates'!$C$6</f>
        <v>750</v>
      </c>
      <c r="D61" s="439" t="str">
        <f>'Input-FX Rates'!$B$6</f>
        <v>750 BU Sensorics &amp; Controls</v>
      </c>
      <c r="E61" s="439" t="str">
        <f>'Input-FX Rates'!$C$5</f>
        <v>7521 &amp; 7522</v>
      </c>
      <c r="F61" s="439" t="str">
        <f>'Input-FX Rates'!$B$5</f>
        <v>7521 &amp; 7522 PL Mechatronic Sensors (&amp; Electrification)</v>
      </c>
      <c r="G61" s="439" t="s">
        <v>1413</v>
      </c>
      <c r="H61" s="439" t="s">
        <v>307</v>
      </c>
      <c r="I61" s="523"/>
      <c r="J61" s="523"/>
      <c r="K61" s="524">
        <f>'2. Variable (GC)'!B34</f>
        <v>2.7374753848841002E-4</v>
      </c>
      <c r="L61" s="524">
        <f>'2. Variable (GC)'!C34</f>
        <v>1.4276332742315298E-4</v>
      </c>
      <c r="M61" s="524">
        <f>'2. Variable (GC)'!D34</f>
        <v>0</v>
      </c>
      <c r="N61" s="524">
        <f>'2. Variable (GC)'!E34</f>
        <v>1.4276332742315298E-4</v>
      </c>
      <c r="O61" s="524">
        <f>'2. Variable (GC)'!N34</f>
        <v>-8.1021663700712142E-5</v>
      </c>
      <c r="P61" s="524">
        <f>'2. Variable (GC)'!M34</f>
        <v>0</v>
      </c>
      <c r="Q61" s="524">
        <f>'2. Variable (GC)'!F34</f>
        <v>0</v>
      </c>
      <c r="R61" s="524">
        <f>'2. Variable (GC)'!G34</f>
        <v>0</v>
      </c>
      <c r="S61" s="524">
        <f>'2. Variable (GC)'!H34</f>
        <v>0</v>
      </c>
      <c r="T61" s="524">
        <f>'2. Variable (GC)'!I34</f>
        <v>0</v>
      </c>
      <c r="U61" s="524">
        <f>'2. Variable (GC)'!K34</f>
        <v>-2.2645861456031558E-4</v>
      </c>
      <c r="V61" s="524">
        <f>'2. Variable (GC)'!L34</f>
        <v>2.6736234364504606E-6</v>
      </c>
      <c r="W61" s="523"/>
      <c r="X61" s="523"/>
      <c r="Y61" s="523"/>
      <c r="Z61" s="523"/>
      <c r="AA61" s="523"/>
      <c r="AB61" s="523"/>
      <c r="AC61" s="523"/>
      <c r="AD61" s="523"/>
      <c r="AE61" s="523"/>
      <c r="AF61" s="523"/>
      <c r="AG61" s="523"/>
      <c r="AH61" s="523"/>
      <c r="AI61" s="523"/>
      <c r="AJ61" s="523"/>
      <c r="AK61" s="523"/>
      <c r="AL61" s="523"/>
      <c r="AM61" s="523"/>
      <c r="AN61" s="523"/>
      <c r="AO61" s="439" t="str">
        <f>'2. Variable (GC)'!P34</f>
        <v>-</v>
      </c>
      <c r="AP61" s="439">
        <v>35</v>
      </c>
      <c r="AQ61" s="439" t="str">
        <f>Settings!$A$1</f>
        <v>V2</v>
      </c>
    </row>
    <row r="62" spans="1:43" ht="12.75" customHeight="1" x14ac:dyDescent="0.2">
      <c r="A62" s="439">
        <f>'Input-FX Rates'!$C$4</f>
        <v>242</v>
      </c>
      <c r="B62" s="439" t="str">
        <f>'Input-FX Rates'!$B$4</f>
        <v>ICH Icheon (242)</v>
      </c>
      <c r="C62" s="439">
        <f>'Input-FX Rates'!$C$6</f>
        <v>750</v>
      </c>
      <c r="D62" s="439" t="str">
        <f>'Input-FX Rates'!$B$6</f>
        <v>750 BU Sensorics &amp; Controls</v>
      </c>
      <c r="E62" s="439" t="str">
        <f>'Input-FX Rates'!$C$5</f>
        <v>7521 &amp; 7522</v>
      </c>
      <c r="F62" s="439" t="str">
        <f>'Input-FX Rates'!$B$5</f>
        <v>7521 &amp; 7522 PL Mechatronic Sensors (&amp; Electrification)</v>
      </c>
      <c r="G62" s="439" t="s">
        <v>1413</v>
      </c>
      <c r="H62" s="439" t="s">
        <v>309</v>
      </c>
      <c r="I62" s="523"/>
      <c r="J62" s="523"/>
      <c r="K62" s="524">
        <f>'2. Variable (GC)'!B35</f>
        <v>-100.75430376059909</v>
      </c>
      <c r="L62" s="524">
        <f>'2. Variable (GC)'!C35</f>
        <v>-203.53884796428952</v>
      </c>
      <c r="M62" s="524">
        <f>'2. Variable (GC)'!D35</f>
        <v>0</v>
      </c>
      <c r="N62" s="524">
        <f>'2. Variable (GC)'!E35</f>
        <v>-203.53884796428952</v>
      </c>
      <c r="O62" s="524">
        <f>'2. Variable (GC)'!N35</f>
        <v>-176.88817274580163</v>
      </c>
      <c r="P62" s="524">
        <f>'2. Variable (GC)'!M35</f>
        <v>-176.88809172413792</v>
      </c>
      <c r="Q62" s="524">
        <f>'2. Variable (GC)'!F35</f>
        <v>8.716373233007344</v>
      </c>
      <c r="R62" s="524">
        <f>'2. Variable (GC)'!G35</f>
        <v>0</v>
      </c>
      <c r="S62" s="524">
        <f>'2. Variable (GC)'!H35</f>
        <v>0</v>
      </c>
      <c r="T62" s="524">
        <f>'2. Variable (GC)'!I35</f>
        <v>0</v>
      </c>
      <c r="U62" s="524">
        <f>'2. Variable (GC)'!K35</f>
        <v>12.097191974619104</v>
      </c>
      <c r="V62" s="524">
        <f>'2. Variable (GC)'!L35</f>
        <v>5.8371100108614371</v>
      </c>
      <c r="W62" s="523"/>
      <c r="X62" s="523"/>
      <c r="Y62" s="523"/>
      <c r="Z62" s="523"/>
      <c r="AA62" s="523"/>
      <c r="AB62" s="523"/>
      <c r="AC62" s="523"/>
      <c r="AD62" s="523"/>
      <c r="AE62" s="523"/>
      <c r="AF62" s="523"/>
      <c r="AG62" s="523"/>
      <c r="AH62" s="523"/>
      <c r="AI62" s="523"/>
      <c r="AJ62" s="523"/>
      <c r="AK62" s="523"/>
      <c r="AL62" s="523"/>
      <c r="AM62" s="523"/>
      <c r="AN62" s="523"/>
      <c r="AO62" s="439" t="str">
        <f>'2. Variable (GC)'!P35</f>
        <v/>
      </c>
      <c r="AP62" s="439">
        <v>36</v>
      </c>
      <c r="AQ62" s="439" t="str">
        <f>Settings!$A$1</f>
        <v>V2</v>
      </c>
    </row>
    <row r="63" spans="1:43" ht="12.75" customHeight="1" x14ac:dyDescent="0.2">
      <c r="A63" s="439">
        <f>'Input-FX Rates'!$C$4</f>
        <v>242</v>
      </c>
      <c r="B63" s="439" t="str">
        <f>'Input-FX Rates'!$B$4</f>
        <v>ICH Icheon (242)</v>
      </c>
      <c r="C63" s="439">
        <f>'Input-FX Rates'!$C$6</f>
        <v>750</v>
      </c>
      <c r="D63" s="439" t="str">
        <f>'Input-FX Rates'!$B$6</f>
        <v>750 BU Sensorics &amp; Controls</v>
      </c>
      <c r="E63" s="439" t="str">
        <f>'Input-FX Rates'!$C$5</f>
        <v>7521 &amp; 7522</v>
      </c>
      <c r="F63" s="439" t="str">
        <f>'Input-FX Rates'!$B$5</f>
        <v>7521 &amp; 7522 PL Mechatronic Sensors (&amp; Electrification)</v>
      </c>
      <c r="G63" s="439" t="s">
        <v>1413</v>
      </c>
      <c r="H63" s="439" t="s">
        <v>310</v>
      </c>
      <c r="I63" s="523"/>
      <c r="J63" s="523"/>
      <c r="K63" s="524">
        <f>'2. Variable (GC)'!B37</f>
        <v>-5701.6743065606088</v>
      </c>
      <c r="L63" s="524">
        <f>'2. Variable (GC)'!C37</f>
        <v>-11091.029717069303</v>
      </c>
      <c r="M63" s="524">
        <f>'2. Variable (GC)'!D37</f>
        <v>-152.79020618625404</v>
      </c>
      <c r="N63" s="524">
        <f>'2. Variable (GC)'!E37</f>
        <v>-10938.23951088305</v>
      </c>
      <c r="O63" s="524">
        <f>'2. Variable (GC)'!N37</f>
        <v>-9345.1602489655161</v>
      </c>
      <c r="P63" s="524">
        <f>'2. Variable (GC)'!M37</f>
        <v>0</v>
      </c>
      <c r="Q63" s="524">
        <f>'2. Variable (GC)'!F37</f>
        <v>530.76051927328683</v>
      </c>
      <c r="R63" s="524">
        <f>'2. Variable (GC)'!G37</f>
        <v>794.63479510002321</v>
      </c>
      <c r="S63" s="524">
        <f>'2. Variable (GC)'!H37</f>
        <v>60.85349166519142</v>
      </c>
      <c r="T63" s="524">
        <f>'2. Variable (GC)'!I37</f>
        <v>0</v>
      </c>
      <c r="U63" s="524">
        <f>'2. Variable (GC)'!K37</f>
        <v>-101.54928254887531</v>
      </c>
      <c r="V63" s="524">
        <f>'2. Variable (GC)'!L37</f>
        <v>308.3797384279078</v>
      </c>
      <c r="W63" s="523"/>
      <c r="X63" s="523"/>
      <c r="Y63" s="523"/>
      <c r="Z63" s="523"/>
      <c r="AA63" s="523"/>
      <c r="AB63" s="523"/>
      <c r="AC63" s="523"/>
      <c r="AD63" s="523"/>
      <c r="AE63" s="523"/>
      <c r="AF63" s="523"/>
      <c r="AG63" s="523"/>
      <c r="AH63" s="523"/>
      <c r="AI63" s="523"/>
      <c r="AJ63" s="523"/>
      <c r="AK63" s="523"/>
      <c r="AL63" s="523"/>
      <c r="AM63" s="523"/>
      <c r="AN63" s="523"/>
      <c r="AO63" s="439" t="str">
        <f>'2. Variable (GC)'!P37</f>
        <v/>
      </c>
      <c r="AP63" s="439">
        <v>37</v>
      </c>
      <c r="AQ63" s="439" t="str">
        <f>Settings!$A$1</f>
        <v>V2</v>
      </c>
    </row>
    <row r="64" spans="1:43" s="525" customFormat="1" ht="12.75" customHeight="1" x14ac:dyDescent="0.2">
      <c r="A64" s="525">
        <f>'Input-FX Rates'!$C$4</f>
        <v>242</v>
      </c>
      <c r="B64" s="525" t="str">
        <f>'Input-FX Rates'!$B$4</f>
        <v>ICH Icheon (242)</v>
      </c>
      <c r="C64" s="525">
        <f>'Input-FX Rates'!$C$6</f>
        <v>750</v>
      </c>
      <c r="D64" s="525" t="str">
        <f>'Input-FX Rates'!$B$6</f>
        <v>750 BU Sensorics &amp; Controls</v>
      </c>
      <c r="E64" s="525" t="str">
        <f>'Input-FX Rates'!$C$5</f>
        <v>7521 &amp; 7522</v>
      </c>
      <c r="F64" s="525" t="str">
        <f>'Input-FX Rates'!$B$5</f>
        <v>7521 &amp; 7522 PL Mechatronic Sensors (&amp; Electrification)</v>
      </c>
      <c r="G64" s="525" t="s">
        <v>1413</v>
      </c>
      <c r="H64" s="525" t="s">
        <v>311</v>
      </c>
      <c r="I64" s="526"/>
      <c r="J64" s="526"/>
      <c r="K64" s="527">
        <f>'2. Variable (GC)'!B38</f>
        <v>1548.3232185183649</v>
      </c>
      <c r="L64" s="527">
        <f>'2. Variable (GC)'!C38</f>
        <v>4020.5110852391194</v>
      </c>
      <c r="M64" s="527">
        <f>'2. Variable (GC)'!D38</f>
        <v>-152.79020618625404</v>
      </c>
      <c r="N64" s="527">
        <f>'2. Variable (GC)'!E38</f>
        <v>4173.3012914253732</v>
      </c>
      <c r="O64" s="527">
        <f>'2. Variable (GC)'!N38</f>
        <v>4842.1016889655166</v>
      </c>
      <c r="P64" s="527">
        <f>'2. Variable (GC)'!M38</f>
        <v>0</v>
      </c>
      <c r="Q64" s="527">
        <f>'2. Variable (GC)'!F38</f>
        <v>-204.13553760189271</v>
      </c>
      <c r="R64" s="527">
        <f>'2. Variable (GC)'!G38</f>
        <v>794.63479510002321</v>
      </c>
      <c r="S64" s="527">
        <f>'2. Variable (GC)'!H38</f>
        <v>-557.38503660292247</v>
      </c>
      <c r="T64" s="527">
        <f>'2. Variable (GC)'!I38</f>
        <v>0</v>
      </c>
      <c r="U64" s="527">
        <f>'2. Variable (GC)'!K38</f>
        <v>795.47006611326424</v>
      </c>
      <c r="V64" s="527">
        <f>'2. Variable (GC)'!L38</f>
        <v>-159.78388946832729</v>
      </c>
      <c r="W64" s="526"/>
      <c r="X64" s="526"/>
      <c r="Y64" s="526"/>
      <c r="Z64" s="526"/>
      <c r="AA64" s="526"/>
      <c r="AB64" s="526"/>
      <c r="AC64" s="526"/>
      <c r="AD64" s="526"/>
      <c r="AE64" s="526"/>
      <c r="AF64" s="526"/>
      <c r="AG64" s="526"/>
      <c r="AH64" s="526"/>
      <c r="AI64" s="526"/>
      <c r="AJ64" s="526"/>
      <c r="AK64" s="526"/>
      <c r="AL64" s="526"/>
      <c r="AM64" s="526"/>
      <c r="AN64" s="526"/>
      <c r="AO64" s="525" t="str">
        <f>'2. Variable (GC)'!P38</f>
        <v/>
      </c>
      <c r="AP64" s="525">
        <v>38</v>
      </c>
      <c r="AQ64" s="525" t="str">
        <f>Settings!$A$1</f>
        <v>V2</v>
      </c>
    </row>
    <row r="65" spans="1:43" ht="12.75" customHeight="1" x14ac:dyDescent="0.2">
      <c r="A65" s="439">
        <f>'Input-FX Rates'!$C$4</f>
        <v>242</v>
      </c>
      <c r="B65" s="439" t="str">
        <f>'Input-FX Rates'!$B$4</f>
        <v>ICH Icheon (242)</v>
      </c>
      <c r="C65" s="439">
        <f>'Input-FX Rates'!$C$6</f>
        <v>750</v>
      </c>
      <c r="D65" s="439" t="str">
        <f>'Input-FX Rates'!$B$6</f>
        <v>750 BU Sensorics &amp; Controls</v>
      </c>
      <c r="E65" s="439" t="str">
        <f>'Input-FX Rates'!$C$5</f>
        <v>7521 &amp; 7522</v>
      </c>
      <c r="F65" s="439" t="str">
        <f>'Input-FX Rates'!$B$5</f>
        <v>7521 &amp; 7522 PL Mechatronic Sensors (&amp; Electrification)</v>
      </c>
      <c r="G65" s="439" t="s">
        <v>1422</v>
      </c>
      <c r="H65" s="439" t="s">
        <v>337</v>
      </c>
      <c r="I65" s="523"/>
      <c r="J65" s="523"/>
      <c r="K65" s="524">
        <f>'3. Scrap (GC)'!C7</f>
        <v>-24.391813677951223</v>
      </c>
      <c r="L65" s="524">
        <f>'3. Scrap (GC)'!E7</f>
        <v>-133.46043992615014</v>
      </c>
      <c r="M65" s="523"/>
      <c r="N65" s="523"/>
      <c r="O65" s="524">
        <f>'3. Scrap (GC)'!R7</f>
        <v>-51.30949855151637</v>
      </c>
      <c r="P65" s="524">
        <f>'3. Scrap (GC)'!S7</f>
        <v>0</v>
      </c>
      <c r="Q65" s="523"/>
      <c r="R65" s="523"/>
      <c r="S65" s="523"/>
      <c r="T65" s="523"/>
      <c r="U65" s="523"/>
      <c r="V65" s="523"/>
      <c r="W65" s="524">
        <f>'3. Scrap (GC)'!F7</f>
        <v>-4.334858004383161</v>
      </c>
      <c r="X65" s="524">
        <f>'3. Scrap (GC)'!G7</f>
        <v>-4.3348946283831147</v>
      </c>
      <c r="Y65" s="524">
        <f>'3. Scrap (GC)'!H7</f>
        <v>-4.2268423205231223</v>
      </c>
      <c r="Z65" s="524">
        <f>'3. Scrap (GC)'!I7</f>
        <v>-4.3348946283831147</v>
      </c>
      <c r="AA65" s="524">
        <f>'3. Scrap (GC)'!J7</f>
        <v>-4.4429844002430583</v>
      </c>
      <c r="AB65" s="524">
        <f>'3. Scrap (GC)'!K7</f>
        <v>-4.155098634616083</v>
      </c>
      <c r="AC65" s="524">
        <f>'3. Scrap (GC)'!L7</f>
        <v>-4.485161052188408</v>
      </c>
      <c r="AD65" s="524">
        <f>'3. Scrap (GC)'!M7</f>
        <v>-4.3750200843311235</v>
      </c>
      <c r="AE65" s="524">
        <f>'3. Scrap (GC)'!N7</f>
        <v>-3.9349307709013632</v>
      </c>
      <c r="AF65" s="524">
        <f>'3. Scrap (GC)'!O7</f>
        <v>-4.4849907001886287</v>
      </c>
      <c r="AG65" s="524">
        <f>'3. Scrap (GC)'!P7</f>
        <v>-4.374934908331233</v>
      </c>
      <c r="AH65" s="524">
        <f>'3. Scrap (GC)'!Q7</f>
        <v>-3.8248884190439481</v>
      </c>
      <c r="AI65" s="523"/>
      <c r="AJ65" s="523"/>
      <c r="AK65" s="523"/>
      <c r="AL65" s="523"/>
      <c r="AM65" s="523"/>
      <c r="AN65" s="524" t="str">
        <f>'3. Scrap (GC)'!B7</f>
        <v>Knock Sensor</v>
      </c>
      <c r="AO65" s="439" t="str">
        <f>'3. Scrap (GC)'!W7</f>
        <v/>
      </c>
      <c r="AP65" s="439">
        <v>39</v>
      </c>
      <c r="AQ65" s="439" t="str">
        <f>Settings!$A$1</f>
        <v>V2</v>
      </c>
    </row>
    <row r="66" spans="1:43" ht="12.75" customHeight="1" x14ac:dyDescent="0.2">
      <c r="A66" s="439">
        <f>'Input-FX Rates'!$C$4</f>
        <v>242</v>
      </c>
      <c r="B66" s="439" t="str">
        <f>'Input-FX Rates'!$B$4</f>
        <v>ICH Icheon (242)</v>
      </c>
      <c r="C66" s="439">
        <f>'Input-FX Rates'!$C$6</f>
        <v>750</v>
      </c>
      <c r="D66" s="439" t="str">
        <f>'Input-FX Rates'!$B$6</f>
        <v>750 BU Sensorics &amp; Controls</v>
      </c>
      <c r="E66" s="439" t="str">
        <f>'Input-FX Rates'!$C$5</f>
        <v>7521 &amp; 7522</v>
      </c>
      <c r="F66" s="439" t="str">
        <f>'Input-FX Rates'!$B$5</f>
        <v>7521 &amp; 7522 PL Mechatronic Sensors (&amp; Electrification)</v>
      </c>
      <c r="G66" s="439" t="s">
        <v>1422</v>
      </c>
      <c r="H66" s="439" t="s">
        <v>340</v>
      </c>
      <c r="I66" s="523"/>
      <c r="J66" s="523"/>
      <c r="K66" s="524">
        <f>'3. Scrap (GC)'!C8</f>
        <v>7249.997525078973</v>
      </c>
      <c r="L66" s="524">
        <f>'3. Scrap (GC)'!E8</f>
        <v>15108.805136332556</v>
      </c>
      <c r="M66" s="523"/>
      <c r="N66" s="523"/>
      <c r="O66" s="524">
        <f>'3. Scrap (GC)'!R8</f>
        <v>12216.547289999997</v>
      </c>
      <c r="P66" s="524">
        <f>'3. Scrap (GC)'!S8</f>
        <v>0</v>
      </c>
      <c r="Q66" s="523"/>
      <c r="R66" s="523"/>
      <c r="S66" s="523"/>
      <c r="T66" s="523"/>
      <c r="U66" s="523"/>
      <c r="V66" s="523"/>
      <c r="W66" s="524">
        <f>'3. Scrap (GC)'!F8</f>
        <v>1032.1090499999998</v>
      </c>
      <c r="X66" s="524">
        <f>'3. Scrap (GC)'!G8</f>
        <v>1032.1177699999998</v>
      </c>
      <c r="Y66" s="524">
        <f>'3. Scrap (GC)'!H8</f>
        <v>1006.3910299999999</v>
      </c>
      <c r="Z66" s="524">
        <f>'3. Scrap (GC)'!I8</f>
        <v>1032.1177699999998</v>
      </c>
      <c r="AA66" s="524">
        <f>'3. Scrap (GC)'!J8</f>
        <v>1057.8534299999999</v>
      </c>
      <c r="AB66" s="524">
        <f>'3. Scrap (GC)'!K8</f>
        <v>989.30919999999969</v>
      </c>
      <c r="AC66" s="524">
        <f>'3. Scrap (GC)'!L8</f>
        <v>1067.8954899999997</v>
      </c>
      <c r="AD66" s="524">
        <f>'3. Scrap (GC)'!M8</f>
        <v>1041.6714500000003</v>
      </c>
      <c r="AE66" s="524">
        <f>'3. Scrap (GC)'!N8</f>
        <v>936.88828000000001</v>
      </c>
      <c r="AF66" s="524">
        <f>'3. Scrap (GC)'!O8</f>
        <v>1067.85493</v>
      </c>
      <c r="AG66" s="524">
        <f>'3. Scrap (GC)'!P8</f>
        <v>1041.6511700000001</v>
      </c>
      <c r="AH66" s="524">
        <f>'3. Scrap (GC)'!Q8</f>
        <v>910.68771999999956</v>
      </c>
      <c r="AI66" s="523"/>
      <c r="AJ66" s="523"/>
      <c r="AK66" s="523"/>
      <c r="AL66" s="523"/>
      <c r="AM66" s="523"/>
      <c r="AN66" s="524" t="str">
        <f>'3. Scrap (GC)'!B8</f>
        <v>Knock Sensor</v>
      </c>
      <c r="AO66" s="439" t="str">
        <f>'3. Scrap (GC)'!W8</f>
        <v/>
      </c>
      <c r="AP66" s="439">
        <v>40</v>
      </c>
      <c r="AQ66" s="439" t="str">
        <f>Settings!$A$1</f>
        <v>V2</v>
      </c>
    </row>
    <row r="67" spans="1:43" ht="12.75" customHeight="1" x14ac:dyDescent="0.2">
      <c r="A67" s="439">
        <f>'Input-FX Rates'!$C$4</f>
        <v>242</v>
      </c>
      <c r="B67" s="439" t="str">
        <f>'Input-FX Rates'!$B$4</f>
        <v>ICH Icheon (242)</v>
      </c>
      <c r="C67" s="439">
        <f>'Input-FX Rates'!$C$6</f>
        <v>750</v>
      </c>
      <c r="D67" s="439" t="str">
        <f>'Input-FX Rates'!$B$6</f>
        <v>750 BU Sensorics &amp; Controls</v>
      </c>
      <c r="E67" s="439" t="str">
        <f>'Input-FX Rates'!$C$5</f>
        <v>7521 &amp; 7522</v>
      </c>
      <c r="F67" s="439" t="str">
        <f>'Input-FX Rates'!$B$5</f>
        <v>7521 &amp; 7522 PL Mechatronic Sensors (&amp; Electrification)</v>
      </c>
      <c r="G67" s="439" t="s">
        <v>1422</v>
      </c>
      <c r="H67" s="439" t="s">
        <v>343</v>
      </c>
      <c r="I67" s="523"/>
      <c r="J67" s="523"/>
      <c r="K67" s="524">
        <f>'3. Scrap (GC)'!C10</f>
        <v>0</v>
      </c>
      <c r="L67" s="524">
        <f>'3. Scrap (GC)'!E10</f>
        <v>-2.4222042494666914E-2</v>
      </c>
      <c r="M67" s="523"/>
      <c r="N67" s="523"/>
      <c r="O67" s="524">
        <f>'3. Scrap (GC)'!R10</f>
        <v>-4.6298704140009033</v>
      </c>
      <c r="P67" s="524">
        <f>'3. Scrap (GC)'!S10</f>
        <v>0</v>
      </c>
      <c r="Q67" s="523"/>
      <c r="R67" s="523"/>
      <c r="S67" s="523"/>
      <c r="T67" s="523"/>
      <c r="U67" s="523"/>
      <c r="V67" s="523"/>
      <c r="W67" s="524">
        <f>'3. Scrap (GC)'!F10</f>
        <v>-0.40014130748152182</v>
      </c>
      <c r="X67" s="524">
        <f>'3. Scrap (GC)'!G10</f>
        <v>-0.40014130748152194</v>
      </c>
      <c r="Y67" s="524">
        <f>'3. Scrap (GC)'!H10</f>
        <v>-0.38111610550617353</v>
      </c>
      <c r="Z67" s="524">
        <f>'3. Scrap (GC)'!I10</f>
        <v>-0.40014130748152194</v>
      </c>
      <c r="AA67" s="524">
        <f>'3. Scrap (GC)'!J10</f>
        <v>-0.41924769545676505</v>
      </c>
      <c r="AB67" s="524">
        <f>'3. Scrap (GC)'!K10</f>
        <v>-0.3620592775308662</v>
      </c>
      <c r="AC67" s="524">
        <f>'3. Scrap (GC)'!L10</f>
        <v>-0.41921506145680737</v>
      </c>
      <c r="AD67" s="524">
        <f>'3. Scrap (GC)'!M10</f>
        <v>-0.40002757148166923</v>
      </c>
      <c r="AE67" s="524">
        <f>'3. Scrap (GC)'!N10</f>
        <v>-0.32384650158037998</v>
      </c>
      <c r="AF67" s="524">
        <f>'3. Scrap (GC)'!O10</f>
        <v>-0.41913391745691242</v>
      </c>
      <c r="AG67" s="524">
        <f>'3. Scrap (GC)'!P10</f>
        <v>-0.40002757148166923</v>
      </c>
      <c r="AH67" s="524">
        <f>'3. Scrap (GC)'!Q10</f>
        <v>-0.30477278960509441</v>
      </c>
      <c r="AI67" s="523"/>
      <c r="AJ67" s="523"/>
      <c r="AK67" s="523"/>
      <c r="AL67" s="523"/>
      <c r="AM67" s="523"/>
      <c r="AN67" s="524" t="str">
        <f>'3. Scrap (GC)'!B10</f>
        <v>Door Handle Sensor</v>
      </c>
      <c r="AO67" s="439" t="str">
        <f>'3. Scrap (GC)'!W10</f>
        <v/>
      </c>
      <c r="AP67" s="439">
        <v>41</v>
      </c>
      <c r="AQ67" s="439" t="str">
        <f>Settings!$A$1</f>
        <v>V2</v>
      </c>
    </row>
    <row r="68" spans="1:43" ht="12.75" customHeight="1" x14ac:dyDescent="0.2">
      <c r="A68" s="439">
        <f>'Input-FX Rates'!$C$4</f>
        <v>242</v>
      </c>
      <c r="B68" s="439" t="str">
        <f>'Input-FX Rates'!$B$4</f>
        <v>ICH Icheon (242)</v>
      </c>
      <c r="C68" s="439">
        <f>'Input-FX Rates'!$C$6</f>
        <v>750</v>
      </c>
      <c r="D68" s="439" t="str">
        <f>'Input-FX Rates'!$B$6</f>
        <v>750 BU Sensorics &amp; Controls</v>
      </c>
      <c r="E68" s="439" t="str">
        <f>'Input-FX Rates'!$C$5</f>
        <v>7521 &amp; 7522</v>
      </c>
      <c r="F68" s="439" t="str">
        <f>'Input-FX Rates'!$B$5</f>
        <v>7521 &amp; 7522 PL Mechatronic Sensors (&amp; Electrification)</v>
      </c>
      <c r="G68" s="439" t="s">
        <v>1422</v>
      </c>
      <c r="H68" s="439" t="s">
        <v>345</v>
      </c>
      <c r="I68" s="523"/>
      <c r="J68" s="523"/>
      <c r="K68" s="524">
        <f>'3. Scrap (GC)'!C11</f>
        <v>0</v>
      </c>
      <c r="L68" s="524">
        <f>'3. Scrap (GC)'!E11</f>
        <v>2.7356659758682671</v>
      </c>
      <c r="M68" s="523"/>
      <c r="N68" s="523"/>
      <c r="O68" s="524">
        <f>'3. Scrap (GC)'!R11</f>
        <v>1102.3500999999999</v>
      </c>
      <c r="P68" s="524">
        <f>'3. Scrap (GC)'!S11</f>
        <v>0</v>
      </c>
      <c r="Q68" s="523"/>
      <c r="R68" s="523"/>
      <c r="S68" s="523"/>
      <c r="T68" s="523"/>
      <c r="U68" s="523"/>
      <c r="V68" s="523"/>
      <c r="W68" s="524">
        <f>'3. Scrap (GC)'!F11</f>
        <v>95.271739999999994</v>
      </c>
      <c r="X68" s="524">
        <f>'3. Scrap (GC)'!G11</f>
        <v>95.271739999999994</v>
      </c>
      <c r="Y68" s="524">
        <f>'3. Scrap (GC)'!H11</f>
        <v>90.741929999999996</v>
      </c>
      <c r="Z68" s="524">
        <f>'3. Scrap (GC)'!I11</f>
        <v>95.271739999999994</v>
      </c>
      <c r="AA68" s="524">
        <f>'3. Scrap (GC)'!J11</f>
        <v>99.820880000000002</v>
      </c>
      <c r="AB68" s="524">
        <f>'3. Scrap (GC)'!K11</f>
        <v>86.20459000000001</v>
      </c>
      <c r="AC68" s="524">
        <f>'3. Scrap (GC)'!L11</f>
        <v>99.813110000000009</v>
      </c>
      <c r="AD68" s="524">
        <f>'3. Scrap (GC)'!M11</f>
        <v>95.244659999999982</v>
      </c>
      <c r="AE68" s="524">
        <f>'3. Scrap (GC)'!N11</f>
        <v>77.106309999999993</v>
      </c>
      <c r="AF68" s="524">
        <f>'3. Scrap (GC)'!O11</f>
        <v>99.793789999999987</v>
      </c>
      <c r="AG68" s="524">
        <f>'3. Scrap (GC)'!P11</f>
        <v>95.244659999999982</v>
      </c>
      <c r="AH68" s="524">
        <f>'3. Scrap (GC)'!Q11</f>
        <v>72.564949999999996</v>
      </c>
      <c r="AI68" s="523"/>
      <c r="AJ68" s="523"/>
      <c r="AK68" s="523"/>
      <c r="AL68" s="523"/>
      <c r="AM68" s="523"/>
      <c r="AN68" s="524" t="str">
        <f>'3. Scrap (GC)'!B11</f>
        <v>Door Handle Sensor</v>
      </c>
      <c r="AO68" s="439" t="str">
        <f>'3. Scrap (GC)'!W11</f>
        <v/>
      </c>
      <c r="AP68" s="439">
        <v>42</v>
      </c>
      <c r="AQ68" s="439" t="str">
        <f>Settings!$A$1</f>
        <v>V2</v>
      </c>
    </row>
    <row r="69" spans="1:43" ht="12.75" customHeight="1" x14ac:dyDescent="0.2">
      <c r="A69" s="439">
        <f>'Input-FX Rates'!$C$4</f>
        <v>242</v>
      </c>
      <c r="B69" s="439" t="str">
        <f>'Input-FX Rates'!$B$4</f>
        <v>ICH Icheon (242)</v>
      </c>
      <c r="C69" s="439">
        <f>'Input-FX Rates'!$C$6</f>
        <v>750</v>
      </c>
      <c r="D69" s="439" t="str">
        <f>'Input-FX Rates'!$B$6</f>
        <v>750 BU Sensorics &amp; Controls</v>
      </c>
      <c r="E69" s="439" t="str">
        <f>'Input-FX Rates'!$C$5</f>
        <v>7521 &amp; 7522</v>
      </c>
      <c r="F69" s="439" t="str">
        <f>'Input-FX Rates'!$B$5</f>
        <v>7521 &amp; 7522 PL Mechatronic Sensors (&amp; Electrification)</v>
      </c>
      <c r="G69" s="439" t="s">
        <v>1422</v>
      </c>
      <c r="H69" s="439" t="s">
        <v>347</v>
      </c>
      <c r="I69" s="523"/>
      <c r="J69" s="523"/>
      <c r="K69" s="524">
        <f>'3. Scrap (GC)'!C13</f>
        <v>0</v>
      </c>
      <c r="L69" s="524">
        <f>'3. Scrap (GC)'!E13</f>
        <v>0</v>
      </c>
      <c r="M69" s="523"/>
      <c r="N69" s="523"/>
      <c r="O69" s="524">
        <f>'3. Scrap (GC)'!R13</f>
        <v>0</v>
      </c>
      <c r="P69" s="524">
        <f>'3. Scrap (GC)'!S13</f>
        <v>0</v>
      </c>
      <c r="Q69" s="523"/>
      <c r="R69" s="523"/>
      <c r="S69" s="523"/>
      <c r="T69" s="523"/>
      <c r="U69" s="523"/>
      <c r="V69" s="523"/>
      <c r="W69" s="524">
        <f>'3. Scrap (GC)'!F13</f>
        <v>0</v>
      </c>
      <c r="X69" s="524">
        <f>'3. Scrap (GC)'!G13</f>
        <v>0</v>
      </c>
      <c r="Y69" s="524">
        <f>'3. Scrap (GC)'!H13</f>
        <v>0</v>
      </c>
      <c r="Z69" s="524">
        <f>'3. Scrap (GC)'!I13</f>
        <v>0</v>
      </c>
      <c r="AA69" s="524">
        <f>'3. Scrap (GC)'!J13</f>
        <v>0</v>
      </c>
      <c r="AB69" s="524">
        <f>'3. Scrap (GC)'!K13</f>
        <v>0</v>
      </c>
      <c r="AC69" s="524">
        <f>'3. Scrap (GC)'!L13</f>
        <v>0</v>
      </c>
      <c r="AD69" s="524">
        <f>'3. Scrap (GC)'!M13</f>
        <v>0</v>
      </c>
      <c r="AE69" s="524">
        <f>'3. Scrap (GC)'!N13</f>
        <v>0</v>
      </c>
      <c r="AF69" s="524">
        <f>'3. Scrap (GC)'!O13</f>
        <v>0</v>
      </c>
      <c r="AG69" s="524">
        <f>'3. Scrap (GC)'!P13</f>
        <v>0</v>
      </c>
      <c r="AH69" s="524">
        <f>'3. Scrap (GC)'!Q13</f>
        <v>0</v>
      </c>
      <c r="AI69" s="523"/>
      <c r="AJ69" s="523"/>
      <c r="AK69" s="523"/>
      <c r="AL69" s="523"/>
      <c r="AM69" s="523"/>
      <c r="AN69" s="524" t="str">
        <f>'3. Scrap (GC)'!B13</f>
        <v>Area 3</v>
      </c>
      <c r="AO69" s="439" t="str">
        <f>'3. Scrap (GC)'!W13</f>
        <v/>
      </c>
      <c r="AP69" s="439">
        <v>43</v>
      </c>
      <c r="AQ69" s="439" t="str">
        <f>Settings!$A$1</f>
        <v>V2</v>
      </c>
    </row>
    <row r="70" spans="1:43" ht="12.75" customHeight="1" x14ac:dyDescent="0.2">
      <c r="A70" s="439">
        <f>'Input-FX Rates'!$C$4</f>
        <v>242</v>
      </c>
      <c r="B70" s="439" t="str">
        <f>'Input-FX Rates'!$B$4</f>
        <v>ICH Icheon (242)</v>
      </c>
      <c r="C70" s="439">
        <f>'Input-FX Rates'!$C$6</f>
        <v>750</v>
      </c>
      <c r="D70" s="439" t="str">
        <f>'Input-FX Rates'!$B$6</f>
        <v>750 BU Sensorics &amp; Controls</v>
      </c>
      <c r="E70" s="439" t="str">
        <f>'Input-FX Rates'!$C$5</f>
        <v>7521 &amp; 7522</v>
      </c>
      <c r="F70" s="439" t="str">
        <f>'Input-FX Rates'!$B$5</f>
        <v>7521 &amp; 7522 PL Mechatronic Sensors (&amp; Electrification)</v>
      </c>
      <c r="G70" s="439" t="s">
        <v>1422</v>
      </c>
      <c r="H70" s="439" t="s">
        <v>349</v>
      </c>
      <c r="I70" s="523"/>
      <c r="J70" s="523"/>
      <c r="K70" s="524">
        <f>'3. Scrap (GC)'!C14</f>
        <v>0</v>
      </c>
      <c r="L70" s="524">
        <f>'3. Scrap (GC)'!E14</f>
        <v>0</v>
      </c>
      <c r="M70" s="523"/>
      <c r="N70" s="523"/>
      <c r="O70" s="524">
        <f>'3. Scrap (GC)'!R14</f>
        <v>0</v>
      </c>
      <c r="P70" s="524">
        <f>'3. Scrap (GC)'!S14</f>
        <v>0</v>
      </c>
      <c r="Q70" s="523"/>
      <c r="R70" s="523"/>
      <c r="S70" s="523"/>
      <c r="T70" s="523"/>
      <c r="U70" s="523"/>
      <c r="V70" s="523"/>
      <c r="W70" s="524">
        <f>'3. Scrap (GC)'!F14</f>
        <v>0</v>
      </c>
      <c r="X70" s="524">
        <f>'3. Scrap (GC)'!G14</f>
        <v>0</v>
      </c>
      <c r="Y70" s="524">
        <f>'3. Scrap (GC)'!H14</f>
        <v>0</v>
      </c>
      <c r="Z70" s="524">
        <f>'3. Scrap (GC)'!I14</f>
        <v>0</v>
      </c>
      <c r="AA70" s="524">
        <f>'3. Scrap (GC)'!J14</f>
        <v>0</v>
      </c>
      <c r="AB70" s="524">
        <f>'3. Scrap (GC)'!K14</f>
        <v>0</v>
      </c>
      <c r="AC70" s="524">
        <f>'3. Scrap (GC)'!L14</f>
        <v>0</v>
      </c>
      <c r="AD70" s="524">
        <f>'3. Scrap (GC)'!M14</f>
        <v>0</v>
      </c>
      <c r="AE70" s="524">
        <f>'3. Scrap (GC)'!N14</f>
        <v>0</v>
      </c>
      <c r="AF70" s="524">
        <f>'3. Scrap (GC)'!O14</f>
        <v>0</v>
      </c>
      <c r="AG70" s="524">
        <f>'3. Scrap (GC)'!P14</f>
        <v>0</v>
      </c>
      <c r="AH70" s="524">
        <f>'3. Scrap (GC)'!Q14</f>
        <v>0</v>
      </c>
      <c r="AI70" s="523"/>
      <c r="AJ70" s="523"/>
      <c r="AK70" s="523"/>
      <c r="AL70" s="523"/>
      <c r="AM70" s="523"/>
      <c r="AN70" s="524" t="str">
        <f>'3. Scrap (GC)'!B14</f>
        <v>Area 3</v>
      </c>
      <c r="AO70" s="439" t="str">
        <f>'3. Scrap (GC)'!W14</f>
        <v/>
      </c>
      <c r="AP70" s="439">
        <v>44</v>
      </c>
      <c r="AQ70" s="439" t="str">
        <f>Settings!$A$1</f>
        <v>V2</v>
      </c>
    </row>
    <row r="71" spans="1:43" ht="12.75" customHeight="1" x14ac:dyDescent="0.2">
      <c r="A71" s="439">
        <f>'Input-FX Rates'!$C$4</f>
        <v>242</v>
      </c>
      <c r="B71" s="439" t="str">
        <f>'Input-FX Rates'!$B$4</f>
        <v>ICH Icheon (242)</v>
      </c>
      <c r="C71" s="439">
        <f>'Input-FX Rates'!$C$6</f>
        <v>750</v>
      </c>
      <c r="D71" s="439" t="str">
        <f>'Input-FX Rates'!$B$6</f>
        <v>750 BU Sensorics &amp; Controls</v>
      </c>
      <c r="E71" s="439" t="str">
        <f>'Input-FX Rates'!$C$5</f>
        <v>7521 &amp; 7522</v>
      </c>
      <c r="F71" s="439" t="str">
        <f>'Input-FX Rates'!$B$5</f>
        <v>7521 &amp; 7522 PL Mechatronic Sensors (&amp; Electrification)</v>
      </c>
      <c r="G71" s="439" t="s">
        <v>1422</v>
      </c>
      <c r="H71" s="439" t="s">
        <v>351</v>
      </c>
      <c r="I71" s="523"/>
      <c r="J71" s="523"/>
      <c r="K71" s="524">
        <f>'3. Scrap (GC)'!C16</f>
        <v>0</v>
      </c>
      <c r="L71" s="524">
        <f>'3. Scrap (GC)'!E16</f>
        <v>0</v>
      </c>
      <c r="M71" s="523"/>
      <c r="N71" s="523"/>
      <c r="O71" s="524">
        <f>'3. Scrap (GC)'!R16</f>
        <v>0</v>
      </c>
      <c r="P71" s="524">
        <f>'3. Scrap (GC)'!S16</f>
        <v>0</v>
      </c>
      <c r="Q71" s="523"/>
      <c r="R71" s="523"/>
      <c r="S71" s="523"/>
      <c r="T71" s="523"/>
      <c r="U71" s="523"/>
      <c r="V71" s="523"/>
      <c r="W71" s="524">
        <f>'3. Scrap (GC)'!F16</f>
        <v>0</v>
      </c>
      <c r="X71" s="524">
        <f>'3. Scrap (GC)'!G16</f>
        <v>0</v>
      </c>
      <c r="Y71" s="524">
        <f>'3. Scrap (GC)'!H16</f>
        <v>0</v>
      </c>
      <c r="Z71" s="524">
        <f>'3. Scrap (GC)'!I16</f>
        <v>0</v>
      </c>
      <c r="AA71" s="524">
        <f>'3. Scrap (GC)'!J16</f>
        <v>0</v>
      </c>
      <c r="AB71" s="524">
        <f>'3. Scrap (GC)'!K16</f>
        <v>0</v>
      </c>
      <c r="AC71" s="524">
        <f>'3. Scrap (GC)'!L16</f>
        <v>0</v>
      </c>
      <c r="AD71" s="524">
        <f>'3. Scrap (GC)'!M16</f>
        <v>0</v>
      </c>
      <c r="AE71" s="524">
        <f>'3. Scrap (GC)'!N16</f>
        <v>0</v>
      </c>
      <c r="AF71" s="524">
        <f>'3. Scrap (GC)'!O16</f>
        <v>0</v>
      </c>
      <c r="AG71" s="524">
        <f>'3. Scrap (GC)'!P16</f>
        <v>0</v>
      </c>
      <c r="AH71" s="524">
        <f>'3. Scrap (GC)'!Q16</f>
        <v>0</v>
      </c>
      <c r="AI71" s="523"/>
      <c r="AJ71" s="523"/>
      <c r="AK71" s="523"/>
      <c r="AL71" s="523"/>
      <c r="AM71" s="523"/>
      <c r="AN71" s="524" t="str">
        <f>'3. Scrap (GC)'!B16</f>
        <v>Area 4</v>
      </c>
      <c r="AO71" s="439" t="str">
        <f>'3. Scrap (GC)'!W16</f>
        <v/>
      </c>
      <c r="AP71" s="439">
        <v>45</v>
      </c>
      <c r="AQ71" s="439" t="str">
        <f>Settings!$A$1</f>
        <v>V2</v>
      </c>
    </row>
    <row r="72" spans="1:43" ht="12.75" customHeight="1" x14ac:dyDescent="0.2">
      <c r="A72" s="439">
        <f>'Input-FX Rates'!$C$4</f>
        <v>242</v>
      </c>
      <c r="B72" s="439" t="str">
        <f>'Input-FX Rates'!$B$4</f>
        <v>ICH Icheon (242)</v>
      </c>
      <c r="C72" s="439">
        <f>'Input-FX Rates'!$C$6</f>
        <v>750</v>
      </c>
      <c r="D72" s="439" t="str">
        <f>'Input-FX Rates'!$B$6</f>
        <v>750 BU Sensorics &amp; Controls</v>
      </c>
      <c r="E72" s="439" t="str">
        <f>'Input-FX Rates'!$C$5</f>
        <v>7521 &amp; 7522</v>
      </c>
      <c r="F72" s="439" t="str">
        <f>'Input-FX Rates'!$B$5</f>
        <v>7521 &amp; 7522 PL Mechatronic Sensors (&amp; Electrification)</v>
      </c>
      <c r="G72" s="439" t="s">
        <v>1422</v>
      </c>
      <c r="H72" s="439" t="s">
        <v>353</v>
      </c>
      <c r="I72" s="523"/>
      <c r="J72" s="523"/>
      <c r="K72" s="524">
        <f>'3. Scrap (GC)'!C17</f>
        <v>0</v>
      </c>
      <c r="L72" s="524">
        <f>'3. Scrap (GC)'!E17</f>
        <v>0</v>
      </c>
      <c r="M72" s="523"/>
      <c r="N72" s="523"/>
      <c r="O72" s="524">
        <f>'3. Scrap (GC)'!R17</f>
        <v>0</v>
      </c>
      <c r="P72" s="524">
        <f>'3. Scrap (GC)'!S17</f>
        <v>0</v>
      </c>
      <c r="Q72" s="523"/>
      <c r="R72" s="523"/>
      <c r="S72" s="523"/>
      <c r="T72" s="523"/>
      <c r="U72" s="523"/>
      <c r="V72" s="523"/>
      <c r="W72" s="524">
        <f>'3. Scrap (GC)'!F17</f>
        <v>0</v>
      </c>
      <c r="X72" s="524">
        <f>'3. Scrap (GC)'!G17</f>
        <v>0</v>
      </c>
      <c r="Y72" s="524">
        <f>'3. Scrap (GC)'!H17</f>
        <v>0</v>
      </c>
      <c r="Z72" s="524">
        <f>'3. Scrap (GC)'!I17</f>
        <v>0</v>
      </c>
      <c r="AA72" s="524">
        <f>'3. Scrap (GC)'!J17</f>
        <v>0</v>
      </c>
      <c r="AB72" s="524">
        <f>'3. Scrap (GC)'!K17</f>
        <v>0</v>
      </c>
      <c r="AC72" s="524">
        <f>'3. Scrap (GC)'!L17</f>
        <v>0</v>
      </c>
      <c r="AD72" s="524">
        <f>'3. Scrap (GC)'!M17</f>
        <v>0</v>
      </c>
      <c r="AE72" s="524">
        <f>'3. Scrap (GC)'!N17</f>
        <v>0</v>
      </c>
      <c r="AF72" s="524">
        <f>'3. Scrap (GC)'!O17</f>
        <v>0</v>
      </c>
      <c r="AG72" s="524">
        <f>'3. Scrap (GC)'!P17</f>
        <v>0</v>
      </c>
      <c r="AH72" s="524">
        <f>'3. Scrap (GC)'!Q17</f>
        <v>0</v>
      </c>
      <c r="AI72" s="523"/>
      <c r="AJ72" s="523"/>
      <c r="AK72" s="523"/>
      <c r="AL72" s="523"/>
      <c r="AM72" s="523"/>
      <c r="AN72" s="524" t="str">
        <f>'3. Scrap (GC)'!B17</f>
        <v>Area 4</v>
      </c>
      <c r="AO72" s="439" t="str">
        <f>'3. Scrap (GC)'!W17</f>
        <v/>
      </c>
      <c r="AP72" s="439">
        <v>46</v>
      </c>
      <c r="AQ72" s="439" t="str">
        <f>Settings!$A$1</f>
        <v>V2</v>
      </c>
    </row>
    <row r="73" spans="1:43" ht="12.75" customHeight="1" x14ac:dyDescent="0.2">
      <c r="A73" s="439">
        <f>'Input-FX Rates'!$C$4</f>
        <v>242</v>
      </c>
      <c r="B73" s="439" t="str">
        <f>'Input-FX Rates'!$B$4</f>
        <v>ICH Icheon (242)</v>
      </c>
      <c r="C73" s="439">
        <f>'Input-FX Rates'!$C$6</f>
        <v>750</v>
      </c>
      <c r="D73" s="439" t="str">
        <f>'Input-FX Rates'!$B$6</f>
        <v>750 BU Sensorics &amp; Controls</v>
      </c>
      <c r="E73" s="439" t="str">
        <f>'Input-FX Rates'!$C$5</f>
        <v>7521 &amp; 7522</v>
      </c>
      <c r="F73" s="439" t="str">
        <f>'Input-FX Rates'!$B$5</f>
        <v>7521 &amp; 7522 PL Mechatronic Sensors (&amp; Electrification)</v>
      </c>
      <c r="G73" s="439" t="s">
        <v>1422</v>
      </c>
      <c r="H73" s="439" t="s">
        <v>355</v>
      </c>
      <c r="I73" s="523"/>
      <c r="J73" s="523"/>
      <c r="K73" s="524">
        <f>'3. Scrap (GC)'!C19</f>
        <v>0</v>
      </c>
      <c r="L73" s="524">
        <f>'3. Scrap (GC)'!E19</f>
        <v>0</v>
      </c>
      <c r="M73" s="523"/>
      <c r="N73" s="523"/>
      <c r="O73" s="524">
        <f>'3. Scrap (GC)'!R19</f>
        <v>0</v>
      </c>
      <c r="P73" s="524">
        <f>'3. Scrap (GC)'!S19</f>
        <v>0</v>
      </c>
      <c r="Q73" s="523"/>
      <c r="R73" s="523"/>
      <c r="S73" s="523"/>
      <c r="T73" s="523"/>
      <c r="U73" s="523"/>
      <c r="V73" s="523"/>
      <c r="W73" s="524">
        <f>'3. Scrap (GC)'!F19</f>
        <v>0</v>
      </c>
      <c r="X73" s="524">
        <f>'3. Scrap (GC)'!G19</f>
        <v>0</v>
      </c>
      <c r="Y73" s="524">
        <f>'3. Scrap (GC)'!H19</f>
        <v>0</v>
      </c>
      <c r="Z73" s="524">
        <f>'3. Scrap (GC)'!I19</f>
        <v>0</v>
      </c>
      <c r="AA73" s="524">
        <f>'3. Scrap (GC)'!J19</f>
        <v>0</v>
      </c>
      <c r="AB73" s="524">
        <f>'3. Scrap (GC)'!K19</f>
        <v>0</v>
      </c>
      <c r="AC73" s="524">
        <f>'3. Scrap (GC)'!L19</f>
        <v>0</v>
      </c>
      <c r="AD73" s="524">
        <f>'3. Scrap (GC)'!M19</f>
        <v>0</v>
      </c>
      <c r="AE73" s="524">
        <f>'3. Scrap (GC)'!N19</f>
        <v>0</v>
      </c>
      <c r="AF73" s="524">
        <f>'3. Scrap (GC)'!O19</f>
        <v>0</v>
      </c>
      <c r="AG73" s="524">
        <f>'3. Scrap (GC)'!P19</f>
        <v>0</v>
      </c>
      <c r="AH73" s="524">
        <f>'3. Scrap (GC)'!Q19</f>
        <v>0</v>
      </c>
      <c r="AI73" s="523"/>
      <c r="AJ73" s="523"/>
      <c r="AK73" s="523"/>
      <c r="AL73" s="523"/>
      <c r="AM73" s="523"/>
      <c r="AN73" s="524" t="str">
        <f>'3. Scrap (GC)'!B19</f>
        <v>Area 5</v>
      </c>
      <c r="AO73" s="439" t="str">
        <f>'3. Scrap (GC)'!W19</f>
        <v/>
      </c>
      <c r="AP73" s="439">
        <v>47</v>
      </c>
      <c r="AQ73" s="439" t="str">
        <f>Settings!$A$1</f>
        <v>V2</v>
      </c>
    </row>
    <row r="74" spans="1:43" ht="12.75" customHeight="1" x14ac:dyDescent="0.2">
      <c r="A74" s="439">
        <f>'Input-FX Rates'!$C$4</f>
        <v>242</v>
      </c>
      <c r="B74" s="439" t="str">
        <f>'Input-FX Rates'!$B$4</f>
        <v>ICH Icheon (242)</v>
      </c>
      <c r="C74" s="439">
        <f>'Input-FX Rates'!$C$6</f>
        <v>750</v>
      </c>
      <c r="D74" s="439" t="str">
        <f>'Input-FX Rates'!$B$6</f>
        <v>750 BU Sensorics &amp; Controls</v>
      </c>
      <c r="E74" s="439" t="str">
        <f>'Input-FX Rates'!$C$5</f>
        <v>7521 &amp; 7522</v>
      </c>
      <c r="F74" s="439" t="str">
        <f>'Input-FX Rates'!$B$5</f>
        <v>7521 &amp; 7522 PL Mechatronic Sensors (&amp; Electrification)</v>
      </c>
      <c r="G74" s="439" t="s">
        <v>1422</v>
      </c>
      <c r="H74" s="439" t="s">
        <v>357</v>
      </c>
      <c r="I74" s="523"/>
      <c r="J74" s="523"/>
      <c r="K74" s="524">
        <f>'3. Scrap (GC)'!C20</f>
        <v>0</v>
      </c>
      <c r="L74" s="524">
        <f>'3. Scrap (GC)'!E20</f>
        <v>0</v>
      </c>
      <c r="M74" s="523"/>
      <c r="N74" s="523"/>
      <c r="O74" s="524">
        <f>'3. Scrap (GC)'!R20</f>
        <v>0</v>
      </c>
      <c r="P74" s="524">
        <f>'3. Scrap (GC)'!S20</f>
        <v>0</v>
      </c>
      <c r="Q74" s="523"/>
      <c r="R74" s="523"/>
      <c r="S74" s="523"/>
      <c r="T74" s="523"/>
      <c r="U74" s="523"/>
      <c r="V74" s="523"/>
      <c r="W74" s="524">
        <f>'3. Scrap (GC)'!F20</f>
        <v>0</v>
      </c>
      <c r="X74" s="524">
        <f>'3. Scrap (GC)'!G20</f>
        <v>0</v>
      </c>
      <c r="Y74" s="524">
        <f>'3. Scrap (GC)'!H20</f>
        <v>0</v>
      </c>
      <c r="Z74" s="524">
        <f>'3. Scrap (GC)'!I20</f>
        <v>0</v>
      </c>
      <c r="AA74" s="524">
        <f>'3. Scrap (GC)'!J20</f>
        <v>0</v>
      </c>
      <c r="AB74" s="524">
        <f>'3. Scrap (GC)'!K20</f>
        <v>0</v>
      </c>
      <c r="AC74" s="524">
        <f>'3. Scrap (GC)'!L20</f>
        <v>0</v>
      </c>
      <c r="AD74" s="524">
        <f>'3. Scrap (GC)'!M20</f>
        <v>0</v>
      </c>
      <c r="AE74" s="524">
        <f>'3. Scrap (GC)'!N20</f>
        <v>0</v>
      </c>
      <c r="AF74" s="524">
        <f>'3. Scrap (GC)'!O20</f>
        <v>0</v>
      </c>
      <c r="AG74" s="524">
        <f>'3. Scrap (GC)'!P20</f>
        <v>0</v>
      </c>
      <c r="AH74" s="524">
        <f>'3. Scrap (GC)'!Q20</f>
        <v>0</v>
      </c>
      <c r="AI74" s="523"/>
      <c r="AJ74" s="523"/>
      <c r="AK74" s="523"/>
      <c r="AL74" s="523"/>
      <c r="AM74" s="523"/>
      <c r="AN74" s="524" t="str">
        <f>'3. Scrap (GC)'!B20</f>
        <v>Area 5</v>
      </c>
      <c r="AO74" s="439" t="str">
        <f>'3. Scrap (GC)'!W20</f>
        <v/>
      </c>
      <c r="AP74" s="439">
        <v>48</v>
      </c>
      <c r="AQ74" s="439" t="str">
        <f>Settings!$A$1</f>
        <v>V2</v>
      </c>
    </row>
    <row r="75" spans="1:43" ht="12.75" customHeight="1" x14ac:dyDescent="0.2">
      <c r="A75" s="439">
        <f>'Input-FX Rates'!$C$4</f>
        <v>242</v>
      </c>
      <c r="B75" s="439" t="str">
        <f>'Input-FX Rates'!$B$4</f>
        <v>ICH Icheon (242)</v>
      </c>
      <c r="C75" s="439">
        <f>'Input-FX Rates'!$C$6</f>
        <v>750</v>
      </c>
      <c r="D75" s="439" t="str">
        <f>'Input-FX Rates'!$B$6</f>
        <v>750 BU Sensorics &amp; Controls</v>
      </c>
      <c r="E75" s="439" t="str">
        <f>'Input-FX Rates'!$C$5</f>
        <v>7521 &amp; 7522</v>
      </c>
      <c r="F75" s="439" t="str">
        <f>'Input-FX Rates'!$B$5</f>
        <v>7521 &amp; 7522 PL Mechatronic Sensors (&amp; Electrification)</v>
      </c>
      <c r="G75" s="439" t="s">
        <v>1422</v>
      </c>
      <c r="H75" s="439" t="s">
        <v>359</v>
      </c>
      <c r="I75" s="523"/>
      <c r="J75" s="523"/>
      <c r="K75" s="524">
        <f>'3. Scrap (GC)'!C22</f>
        <v>0</v>
      </c>
      <c r="L75" s="524">
        <f>'3. Scrap (GC)'!E22</f>
        <v>0</v>
      </c>
      <c r="M75" s="523"/>
      <c r="N75" s="523"/>
      <c r="O75" s="524">
        <f>'3. Scrap (GC)'!R22</f>
        <v>0</v>
      </c>
      <c r="P75" s="524">
        <f>'3. Scrap (GC)'!S22</f>
        <v>0</v>
      </c>
      <c r="Q75" s="523"/>
      <c r="R75" s="523"/>
      <c r="S75" s="523"/>
      <c r="T75" s="523"/>
      <c r="U75" s="523"/>
      <c r="V75" s="523"/>
      <c r="W75" s="524">
        <f>'3. Scrap (GC)'!F22</f>
        <v>0</v>
      </c>
      <c r="X75" s="524">
        <f>'3. Scrap (GC)'!G22</f>
        <v>0</v>
      </c>
      <c r="Y75" s="524">
        <f>'3. Scrap (GC)'!H22</f>
        <v>0</v>
      </c>
      <c r="Z75" s="524">
        <f>'3. Scrap (GC)'!I22</f>
        <v>0</v>
      </c>
      <c r="AA75" s="524">
        <f>'3. Scrap (GC)'!J22</f>
        <v>0</v>
      </c>
      <c r="AB75" s="524">
        <f>'3. Scrap (GC)'!K22</f>
        <v>0</v>
      </c>
      <c r="AC75" s="524">
        <f>'3. Scrap (GC)'!L22</f>
        <v>0</v>
      </c>
      <c r="AD75" s="524">
        <f>'3. Scrap (GC)'!M22</f>
        <v>0</v>
      </c>
      <c r="AE75" s="524">
        <f>'3. Scrap (GC)'!N22</f>
        <v>0</v>
      </c>
      <c r="AF75" s="524">
        <f>'3. Scrap (GC)'!O22</f>
        <v>0</v>
      </c>
      <c r="AG75" s="524">
        <f>'3. Scrap (GC)'!P22</f>
        <v>0</v>
      </c>
      <c r="AH75" s="524">
        <f>'3. Scrap (GC)'!Q22</f>
        <v>0</v>
      </c>
      <c r="AI75" s="523"/>
      <c r="AJ75" s="523"/>
      <c r="AK75" s="523"/>
      <c r="AL75" s="523"/>
      <c r="AM75" s="523"/>
      <c r="AN75" s="524" t="str">
        <f>'3. Scrap (GC)'!B22</f>
        <v>Area 6</v>
      </c>
      <c r="AO75" s="439" t="str">
        <f>'3. Scrap (GC)'!W22</f>
        <v/>
      </c>
      <c r="AP75" s="439">
        <v>49</v>
      </c>
      <c r="AQ75" s="439" t="str">
        <f>Settings!$A$1</f>
        <v>V2</v>
      </c>
    </row>
    <row r="76" spans="1:43" ht="12.75" customHeight="1" x14ac:dyDescent="0.2">
      <c r="A76" s="439">
        <f>'Input-FX Rates'!$C$4</f>
        <v>242</v>
      </c>
      <c r="B76" s="439" t="str">
        <f>'Input-FX Rates'!$B$4</f>
        <v>ICH Icheon (242)</v>
      </c>
      <c r="C76" s="439">
        <f>'Input-FX Rates'!$C$6</f>
        <v>750</v>
      </c>
      <c r="D76" s="439" t="str">
        <f>'Input-FX Rates'!$B$6</f>
        <v>750 BU Sensorics &amp; Controls</v>
      </c>
      <c r="E76" s="439" t="str">
        <f>'Input-FX Rates'!$C$5</f>
        <v>7521 &amp; 7522</v>
      </c>
      <c r="F76" s="439" t="str">
        <f>'Input-FX Rates'!$B$5</f>
        <v>7521 &amp; 7522 PL Mechatronic Sensors (&amp; Electrification)</v>
      </c>
      <c r="G76" s="439" t="s">
        <v>1422</v>
      </c>
      <c r="H76" s="439" t="s">
        <v>361</v>
      </c>
      <c r="I76" s="523"/>
      <c r="J76" s="523"/>
      <c r="K76" s="524">
        <f>'3. Scrap (GC)'!C23</f>
        <v>0</v>
      </c>
      <c r="L76" s="524">
        <f>'3. Scrap (GC)'!E23</f>
        <v>0</v>
      </c>
      <c r="M76" s="523"/>
      <c r="N76" s="523"/>
      <c r="O76" s="524">
        <f>'3. Scrap (GC)'!R23</f>
        <v>0</v>
      </c>
      <c r="P76" s="524">
        <f>'3. Scrap (GC)'!S23</f>
        <v>0</v>
      </c>
      <c r="Q76" s="523"/>
      <c r="R76" s="523"/>
      <c r="S76" s="523"/>
      <c r="T76" s="523"/>
      <c r="U76" s="523"/>
      <c r="V76" s="523"/>
      <c r="W76" s="524">
        <f>'3. Scrap (GC)'!F23</f>
        <v>0</v>
      </c>
      <c r="X76" s="524">
        <f>'3. Scrap (GC)'!G23</f>
        <v>0</v>
      </c>
      <c r="Y76" s="524">
        <f>'3. Scrap (GC)'!H23</f>
        <v>0</v>
      </c>
      <c r="Z76" s="524">
        <f>'3. Scrap (GC)'!I23</f>
        <v>0</v>
      </c>
      <c r="AA76" s="524">
        <f>'3. Scrap (GC)'!J23</f>
        <v>0</v>
      </c>
      <c r="AB76" s="524">
        <f>'3. Scrap (GC)'!K23</f>
        <v>0</v>
      </c>
      <c r="AC76" s="524">
        <f>'3. Scrap (GC)'!L23</f>
        <v>0</v>
      </c>
      <c r="AD76" s="524">
        <f>'3. Scrap (GC)'!M23</f>
        <v>0</v>
      </c>
      <c r="AE76" s="524">
        <f>'3. Scrap (GC)'!N23</f>
        <v>0</v>
      </c>
      <c r="AF76" s="524">
        <f>'3. Scrap (GC)'!O23</f>
        <v>0</v>
      </c>
      <c r="AG76" s="524">
        <f>'3. Scrap (GC)'!P23</f>
        <v>0</v>
      </c>
      <c r="AH76" s="524">
        <f>'3. Scrap (GC)'!Q23</f>
        <v>0</v>
      </c>
      <c r="AI76" s="523"/>
      <c r="AJ76" s="523"/>
      <c r="AK76" s="523"/>
      <c r="AL76" s="523"/>
      <c r="AM76" s="523"/>
      <c r="AN76" s="524" t="str">
        <f>'3. Scrap (GC)'!B23</f>
        <v>Area 6</v>
      </c>
      <c r="AO76" s="439" t="str">
        <f>'3. Scrap (GC)'!W23</f>
        <v/>
      </c>
      <c r="AP76" s="439">
        <v>50</v>
      </c>
      <c r="AQ76" s="439" t="str">
        <f>Settings!$A$1</f>
        <v>V2</v>
      </c>
    </row>
    <row r="77" spans="1:43" ht="12.75" customHeight="1" x14ac:dyDescent="0.2">
      <c r="A77" s="439">
        <f>'Input-FX Rates'!$C$4</f>
        <v>242</v>
      </c>
      <c r="B77" s="439" t="str">
        <f>'Input-FX Rates'!$B$4</f>
        <v>ICH Icheon (242)</v>
      </c>
      <c r="C77" s="439">
        <f>'Input-FX Rates'!$C$6</f>
        <v>750</v>
      </c>
      <c r="D77" s="439" t="str">
        <f>'Input-FX Rates'!$B$6</f>
        <v>750 BU Sensorics &amp; Controls</v>
      </c>
      <c r="E77" s="439" t="str">
        <f>'Input-FX Rates'!$C$5</f>
        <v>7521 &amp; 7522</v>
      </c>
      <c r="F77" s="439" t="str">
        <f>'Input-FX Rates'!$B$5</f>
        <v>7521 &amp; 7522 PL Mechatronic Sensors (&amp; Electrification)</v>
      </c>
      <c r="G77" s="439" t="s">
        <v>1422</v>
      </c>
      <c r="H77" s="439" t="s">
        <v>363</v>
      </c>
      <c r="I77" s="523"/>
      <c r="J77" s="523"/>
      <c r="K77" s="524">
        <f>'3. Scrap (GC)'!C25</f>
        <v>0</v>
      </c>
      <c r="L77" s="524">
        <f>'3. Scrap (GC)'!E25</f>
        <v>0</v>
      </c>
      <c r="M77" s="523"/>
      <c r="N77" s="523"/>
      <c r="O77" s="524">
        <f>'3. Scrap (GC)'!R25</f>
        <v>0</v>
      </c>
      <c r="P77" s="524">
        <f>'3. Scrap (GC)'!S25</f>
        <v>0</v>
      </c>
      <c r="Q77" s="523"/>
      <c r="R77" s="523"/>
      <c r="S77" s="523"/>
      <c r="T77" s="523"/>
      <c r="U77" s="523"/>
      <c r="V77" s="523"/>
      <c r="W77" s="524">
        <f>'3. Scrap (GC)'!F25</f>
        <v>0</v>
      </c>
      <c r="X77" s="524">
        <f>'3. Scrap (GC)'!G25</f>
        <v>0</v>
      </c>
      <c r="Y77" s="524">
        <f>'3. Scrap (GC)'!H25</f>
        <v>0</v>
      </c>
      <c r="Z77" s="524">
        <f>'3. Scrap (GC)'!I25</f>
        <v>0</v>
      </c>
      <c r="AA77" s="524">
        <f>'3. Scrap (GC)'!J25</f>
        <v>0</v>
      </c>
      <c r="AB77" s="524">
        <f>'3. Scrap (GC)'!K25</f>
        <v>0</v>
      </c>
      <c r="AC77" s="524">
        <f>'3. Scrap (GC)'!L25</f>
        <v>0</v>
      </c>
      <c r="AD77" s="524">
        <f>'3. Scrap (GC)'!M25</f>
        <v>0</v>
      </c>
      <c r="AE77" s="524">
        <f>'3. Scrap (GC)'!N25</f>
        <v>0</v>
      </c>
      <c r="AF77" s="524">
        <f>'3. Scrap (GC)'!O25</f>
        <v>0</v>
      </c>
      <c r="AG77" s="524">
        <f>'3. Scrap (GC)'!P25</f>
        <v>0</v>
      </c>
      <c r="AH77" s="524">
        <f>'3. Scrap (GC)'!Q25</f>
        <v>0</v>
      </c>
      <c r="AI77" s="523"/>
      <c r="AJ77" s="523"/>
      <c r="AK77" s="523"/>
      <c r="AL77" s="523"/>
      <c r="AM77" s="523"/>
      <c r="AN77" s="524" t="str">
        <f>'3. Scrap (GC)'!B25</f>
        <v>Area 7</v>
      </c>
      <c r="AO77" s="524" t="str">
        <f>'3. Scrap (GC)'!W25</f>
        <v/>
      </c>
      <c r="AP77" s="439">
        <v>1501</v>
      </c>
      <c r="AQ77" s="439" t="str">
        <f>Settings!$A$1</f>
        <v>V2</v>
      </c>
    </row>
    <row r="78" spans="1:43" ht="12.75" customHeight="1" x14ac:dyDescent="0.2">
      <c r="A78" s="439">
        <f>'Input-FX Rates'!$C$4</f>
        <v>242</v>
      </c>
      <c r="B78" s="439" t="str">
        <f>'Input-FX Rates'!$B$4</f>
        <v>ICH Icheon (242)</v>
      </c>
      <c r="C78" s="439">
        <f>'Input-FX Rates'!$C$6</f>
        <v>750</v>
      </c>
      <c r="D78" s="439" t="str">
        <f>'Input-FX Rates'!$B$6</f>
        <v>750 BU Sensorics &amp; Controls</v>
      </c>
      <c r="E78" s="439" t="str">
        <f>'Input-FX Rates'!$C$5</f>
        <v>7521 &amp; 7522</v>
      </c>
      <c r="F78" s="439" t="str">
        <f>'Input-FX Rates'!$B$5</f>
        <v>7521 &amp; 7522 PL Mechatronic Sensors (&amp; Electrification)</v>
      </c>
      <c r="G78" s="439" t="s">
        <v>1422</v>
      </c>
      <c r="H78" s="439" t="s">
        <v>365</v>
      </c>
      <c r="I78" s="523"/>
      <c r="J78" s="523"/>
      <c r="K78" s="524">
        <f>'3. Scrap (GC)'!C26</f>
        <v>0</v>
      </c>
      <c r="L78" s="524">
        <f>'3. Scrap (GC)'!E26</f>
        <v>0</v>
      </c>
      <c r="M78" s="523"/>
      <c r="N78" s="523"/>
      <c r="O78" s="524">
        <f>'3. Scrap (GC)'!R26</f>
        <v>0</v>
      </c>
      <c r="P78" s="524">
        <f>'3. Scrap (GC)'!S26</f>
        <v>0</v>
      </c>
      <c r="Q78" s="523"/>
      <c r="R78" s="523"/>
      <c r="S78" s="523"/>
      <c r="T78" s="523"/>
      <c r="U78" s="523"/>
      <c r="V78" s="523"/>
      <c r="W78" s="524">
        <f>'3. Scrap (GC)'!F26</f>
        <v>0</v>
      </c>
      <c r="X78" s="524">
        <f>'3. Scrap (GC)'!G26</f>
        <v>0</v>
      </c>
      <c r="Y78" s="524">
        <f>'3. Scrap (GC)'!H26</f>
        <v>0</v>
      </c>
      <c r="Z78" s="524">
        <f>'3. Scrap (GC)'!I26</f>
        <v>0</v>
      </c>
      <c r="AA78" s="524">
        <f>'3. Scrap (GC)'!J26</f>
        <v>0</v>
      </c>
      <c r="AB78" s="524">
        <f>'3. Scrap (GC)'!K26</f>
        <v>0</v>
      </c>
      <c r="AC78" s="524">
        <f>'3. Scrap (GC)'!L26</f>
        <v>0</v>
      </c>
      <c r="AD78" s="524">
        <f>'3. Scrap (GC)'!M26</f>
        <v>0</v>
      </c>
      <c r="AE78" s="524">
        <f>'3. Scrap (GC)'!N26</f>
        <v>0</v>
      </c>
      <c r="AF78" s="524">
        <f>'3. Scrap (GC)'!O26</f>
        <v>0</v>
      </c>
      <c r="AG78" s="524">
        <f>'3. Scrap (GC)'!P26</f>
        <v>0</v>
      </c>
      <c r="AH78" s="524">
        <f>'3. Scrap (GC)'!Q26</f>
        <v>0</v>
      </c>
      <c r="AI78" s="523"/>
      <c r="AJ78" s="523"/>
      <c r="AK78" s="523"/>
      <c r="AL78" s="523"/>
      <c r="AM78" s="523"/>
      <c r="AN78" s="524" t="str">
        <f>'3. Scrap (GC)'!B26</f>
        <v>Area 7</v>
      </c>
      <c r="AO78" s="524" t="str">
        <f>'3. Scrap (GC)'!W26</f>
        <v/>
      </c>
      <c r="AP78" s="439">
        <v>1502</v>
      </c>
      <c r="AQ78" s="439" t="str">
        <f>Settings!$A$1</f>
        <v>V2</v>
      </c>
    </row>
    <row r="79" spans="1:43" ht="12.75" customHeight="1" x14ac:dyDescent="0.2">
      <c r="A79" s="439">
        <f>'Input-FX Rates'!$C$4</f>
        <v>242</v>
      </c>
      <c r="B79" s="439" t="str">
        <f>'Input-FX Rates'!$B$4</f>
        <v>ICH Icheon (242)</v>
      </c>
      <c r="C79" s="439">
        <f>'Input-FX Rates'!$C$6</f>
        <v>750</v>
      </c>
      <c r="D79" s="439" t="str">
        <f>'Input-FX Rates'!$B$6</f>
        <v>750 BU Sensorics &amp; Controls</v>
      </c>
      <c r="E79" s="439" t="str">
        <f>'Input-FX Rates'!$C$5</f>
        <v>7521 &amp; 7522</v>
      </c>
      <c r="F79" s="439" t="str">
        <f>'Input-FX Rates'!$B$5</f>
        <v>7521 &amp; 7522 PL Mechatronic Sensors (&amp; Electrification)</v>
      </c>
      <c r="G79" s="439" t="s">
        <v>1422</v>
      </c>
      <c r="H79" s="439" t="s">
        <v>367</v>
      </c>
      <c r="I79" s="523"/>
      <c r="J79" s="523"/>
      <c r="K79" s="524">
        <f>'3. Scrap (GC)'!C28</f>
        <v>0</v>
      </c>
      <c r="L79" s="524">
        <f>'3. Scrap (GC)'!E28</f>
        <v>0</v>
      </c>
      <c r="M79" s="523"/>
      <c r="N79" s="523"/>
      <c r="O79" s="524">
        <f>'3. Scrap (GC)'!R28</f>
        <v>0</v>
      </c>
      <c r="P79" s="524">
        <f>'3. Scrap (GC)'!S28</f>
        <v>0</v>
      </c>
      <c r="Q79" s="523"/>
      <c r="R79" s="523"/>
      <c r="S79" s="523"/>
      <c r="T79" s="523"/>
      <c r="U79" s="523"/>
      <c r="V79" s="523"/>
      <c r="W79" s="524">
        <f>'3. Scrap (GC)'!F28</f>
        <v>0</v>
      </c>
      <c r="X79" s="524">
        <f>'3. Scrap (GC)'!G28</f>
        <v>0</v>
      </c>
      <c r="Y79" s="524">
        <f>'3. Scrap (GC)'!H28</f>
        <v>0</v>
      </c>
      <c r="Z79" s="524">
        <f>'3. Scrap (GC)'!I28</f>
        <v>0</v>
      </c>
      <c r="AA79" s="524">
        <f>'3. Scrap (GC)'!J28</f>
        <v>0</v>
      </c>
      <c r="AB79" s="524">
        <f>'3. Scrap (GC)'!K28</f>
        <v>0</v>
      </c>
      <c r="AC79" s="524">
        <f>'3. Scrap (GC)'!L28</f>
        <v>0</v>
      </c>
      <c r="AD79" s="524">
        <f>'3. Scrap (GC)'!M28</f>
        <v>0</v>
      </c>
      <c r="AE79" s="524">
        <f>'3. Scrap (GC)'!N28</f>
        <v>0</v>
      </c>
      <c r="AF79" s="524">
        <f>'3. Scrap (GC)'!O28</f>
        <v>0</v>
      </c>
      <c r="AG79" s="524">
        <f>'3. Scrap (GC)'!P28</f>
        <v>0</v>
      </c>
      <c r="AH79" s="524">
        <f>'3. Scrap (GC)'!Q28</f>
        <v>0</v>
      </c>
      <c r="AI79" s="523"/>
      <c r="AJ79" s="523"/>
      <c r="AK79" s="523"/>
      <c r="AL79" s="523"/>
      <c r="AM79" s="523"/>
      <c r="AN79" s="524" t="str">
        <f>'3. Scrap (GC)'!B28</f>
        <v>Area 8</v>
      </c>
      <c r="AO79" s="524" t="str">
        <f>'3. Scrap (GC)'!W28</f>
        <v/>
      </c>
      <c r="AP79" s="439">
        <v>1503</v>
      </c>
      <c r="AQ79" s="439" t="str">
        <f>Settings!$A$1</f>
        <v>V2</v>
      </c>
    </row>
    <row r="80" spans="1:43" ht="12.75" customHeight="1" x14ac:dyDescent="0.2">
      <c r="A80" s="439">
        <f>'Input-FX Rates'!$C$4</f>
        <v>242</v>
      </c>
      <c r="B80" s="439" t="str">
        <f>'Input-FX Rates'!$B$4</f>
        <v>ICH Icheon (242)</v>
      </c>
      <c r="C80" s="439">
        <f>'Input-FX Rates'!$C$6</f>
        <v>750</v>
      </c>
      <c r="D80" s="439" t="str">
        <f>'Input-FX Rates'!$B$6</f>
        <v>750 BU Sensorics &amp; Controls</v>
      </c>
      <c r="E80" s="439" t="str">
        <f>'Input-FX Rates'!$C$5</f>
        <v>7521 &amp; 7522</v>
      </c>
      <c r="F80" s="439" t="str">
        <f>'Input-FX Rates'!$B$5</f>
        <v>7521 &amp; 7522 PL Mechatronic Sensors (&amp; Electrification)</v>
      </c>
      <c r="G80" s="439" t="s">
        <v>1422</v>
      </c>
      <c r="H80" s="439" t="s">
        <v>369</v>
      </c>
      <c r="I80" s="523"/>
      <c r="J80" s="523"/>
      <c r="K80" s="524">
        <f>'3. Scrap (GC)'!C29</f>
        <v>0</v>
      </c>
      <c r="L80" s="524">
        <f>'3. Scrap (GC)'!E29</f>
        <v>0</v>
      </c>
      <c r="M80" s="523"/>
      <c r="N80" s="523"/>
      <c r="O80" s="524">
        <f>'3. Scrap (GC)'!R29</f>
        <v>0</v>
      </c>
      <c r="P80" s="524">
        <f>'3. Scrap (GC)'!S29</f>
        <v>0</v>
      </c>
      <c r="Q80" s="523"/>
      <c r="R80" s="523"/>
      <c r="S80" s="523"/>
      <c r="T80" s="523"/>
      <c r="U80" s="523"/>
      <c r="V80" s="523"/>
      <c r="W80" s="524">
        <f>'3. Scrap (GC)'!F29</f>
        <v>0</v>
      </c>
      <c r="X80" s="524">
        <f>'3. Scrap (GC)'!G29</f>
        <v>0</v>
      </c>
      <c r="Y80" s="524">
        <f>'3. Scrap (GC)'!H29</f>
        <v>0</v>
      </c>
      <c r="Z80" s="524">
        <f>'3. Scrap (GC)'!I29</f>
        <v>0</v>
      </c>
      <c r="AA80" s="524">
        <f>'3. Scrap (GC)'!J29</f>
        <v>0</v>
      </c>
      <c r="AB80" s="524">
        <f>'3. Scrap (GC)'!K29</f>
        <v>0</v>
      </c>
      <c r="AC80" s="524">
        <f>'3. Scrap (GC)'!L29</f>
        <v>0</v>
      </c>
      <c r="AD80" s="524">
        <f>'3. Scrap (GC)'!M29</f>
        <v>0</v>
      </c>
      <c r="AE80" s="524">
        <f>'3. Scrap (GC)'!N29</f>
        <v>0</v>
      </c>
      <c r="AF80" s="524">
        <f>'3. Scrap (GC)'!O29</f>
        <v>0</v>
      </c>
      <c r="AG80" s="524">
        <f>'3. Scrap (GC)'!P29</f>
        <v>0</v>
      </c>
      <c r="AH80" s="524">
        <f>'3. Scrap (GC)'!Q29</f>
        <v>0</v>
      </c>
      <c r="AI80" s="523"/>
      <c r="AJ80" s="523"/>
      <c r="AK80" s="523"/>
      <c r="AL80" s="523"/>
      <c r="AM80" s="523"/>
      <c r="AN80" s="524" t="str">
        <f>'3. Scrap (GC)'!B29</f>
        <v>Area 8</v>
      </c>
      <c r="AO80" s="524" t="str">
        <f>'3. Scrap (GC)'!W29</f>
        <v/>
      </c>
      <c r="AP80" s="439">
        <v>1504</v>
      </c>
      <c r="AQ80" s="439" t="str">
        <f>Settings!$A$1</f>
        <v>V2</v>
      </c>
    </row>
    <row r="81" spans="1:43" ht="12.75" customHeight="1" x14ac:dyDescent="0.2">
      <c r="A81" s="439">
        <f>'Input-FX Rates'!$C$4</f>
        <v>242</v>
      </c>
      <c r="B81" s="439" t="str">
        <f>'Input-FX Rates'!$B$4</f>
        <v>ICH Icheon (242)</v>
      </c>
      <c r="C81" s="439">
        <f>'Input-FX Rates'!$C$6</f>
        <v>750</v>
      </c>
      <c r="D81" s="439" t="str">
        <f>'Input-FX Rates'!$B$6</f>
        <v>750 BU Sensorics &amp; Controls</v>
      </c>
      <c r="E81" s="439" t="str">
        <f>'Input-FX Rates'!$C$5</f>
        <v>7521 &amp; 7522</v>
      </c>
      <c r="F81" s="439" t="str">
        <f>'Input-FX Rates'!$B$5</f>
        <v>7521 &amp; 7522 PL Mechatronic Sensors (&amp; Electrification)</v>
      </c>
      <c r="G81" s="439" t="s">
        <v>1422</v>
      </c>
      <c r="H81" s="439" t="s">
        <v>371</v>
      </c>
      <c r="I81" s="523"/>
      <c r="J81" s="523"/>
      <c r="K81" s="524">
        <f>'3. Scrap (GC)'!C31</f>
        <v>0</v>
      </c>
      <c r="L81" s="524">
        <f>'3. Scrap (GC)'!E31</f>
        <v>0</v>
      </c>
      <c r="M81" s="523"/>
      <c r="N81" s="523"/>
      <c r="O81" s="524">
        <f>'3. Scrap (GC)'!R31</f>
        <v>0</v>
      </c>
      <c r="P81" s="524">
        <f>'3. Scrap (GC)'!S31</f>
        <v>0</v>
      </c>
      <c r="Q81" s="523"/>
      <c r="R81" s="523"/>
      <c r="S81" s="523"/>
      <c r="T81" s="523"/>
      <c r="U81" s="523"/>
      <c r="V81" s="523"/>
      <c r="W81" s="524">
        <f>'3. Scrap (GC)'!F31</f>
        <v>0</v>
      </c>
      <c r="X81" s="524">
        <f>'3. Scrap (GC)'!G31</f>
        <v>0</v>
      </c>
      <c r="Y81" s="524">
        <f>'3. Scrap (GC)'!H31</f>
        <v>0</v>
      </c>
      <c r="Z81" s="524">
        <f>'3. Scrap (GC)'!I31</f>
        <v>0</v>
      </c>
      <c r="AA81" s="524">
        <f>'3. Scrap (GC)'!J31</f>
        <v>0</v>
      </c>
      <c r="AB81" s="524">
        <f>'3. Scrap (GC)'!K31</f>
        <v>0</v>
      </c>
      <c r="AC81" s="524">
        <f>'3. Scrap (GC)'!L31</f>
        <v>0</v>
      </c>
      <c r="AD81" s="524">
        <f>'3. Scrap (GC)'!M31</f>
        <v>0</v>
      </c>
      <c r="AE81" s="524">
        <f>'3. Scrap (GC)'!N31</f>
        <v>0</v>
      </c>
      <c r="AF81" s="524">
        <f>'3. Scrap (GC)'!O31</f>
        <v>0</v>
      </c>
      <c r="AG81" s="524">
        <f>'3. Scrap (GC)'!P31</f>
        <v>0</v>
      </c>
      <c r="AH81" s="524">
        <f>'3. Scrap (GC)'!Q31</f>
        <v>0</v>
      </c>
      <c r="AI81" s="523"/>
      <c r="AJ81" s="523"/>
      <c r="AK81" s="523"/>
      <c r="AL81" s="523"/>
      <c r="AM81" s="523"/>
      <c r="AN81" s="524" t="str">
        <f>'3. Scrap (GC)'!B31</f>
        <v>Area 9</v>
      </c>
      <c r="AO81" s="524" t="str">
        <f>'3. Scrap (GC)'!W31</f>
        <v/>
      </c>
      <c r="AP81" s="439">
        <v>1505</v>
      </c>
      <c r="AQ81" s="439" t="str">
        <f>Settings!$A$1</f>
        <v>V2</v>
      </c>
    </row>
    <row r="82" spans="1:43" ht="12.75" customHeight="1" x14ac:dyDescent="0.2">
      <c r="A82" s="439">
        <f>'Input-FX Rates'!$C$4</f>
        <v>242</v>
      </c>
      <c r="B82" s="439" t="str">
        <f>'Input-FX Rates'!$B$4</f>
        <v>ICH Icheon (242)</v>
      </c>
      <c r="C82" s="439">
        <f>'Input-FX Rates'!$C$6</f>
        <v>750</v>
      </c>
      <c r="D82" s="439" t="str">
        <f>'Input-FX Rates'!$B$6</f>
        <v>750 BU Sensorics &amp; Controls</v>
      </c>
      <c r="E82" s="439" t="str">
        <f>'Input-FX Rates'!$C$5</f>
        <v>7521 &amp; 7522</v>
      </c>
      <c r="F82" s="439" t="str">
        <f>'Input-FX Rates'!$B$5</f>
        <v>7521 &amp; 7522 PL Mechatronic Sensors (&amp; Electrification)</v>
      </c>
      <c r="G82" s="439" t="s">
        <v>1422</v>
      </c>
      <c r="H82" s="439" t="s">
        <v>373</v>
      </c>
      <c r="I82" s="523"/>
      <c r="J82" s="523"/>
      <c r="K82" s="524">
        <f>'3. Scrap (GC)'!C32</f>
        <v>0</v>
      </c>
      <c r="L82" s="524">
        <f>'3. Scrap (GC)'!E32</f>
        <v>0</v>
      </c>
      <c r="M82" s="523"/>
      <c r="N82" s="523"/>
      <c r="O82" s="524">
        <f>'3. Scrap (GC)'!R32</f>
        <v>0</v>
      </c>
      <c r="P82" s="524">
        <f>'3. Scrap (GC)'!S32</f>
        <v>0</v>
      </c>
      <c r="Q82" s="523"/>
      <c r="R82" s="523"/>
      <c r="S82" s="523"/>
      <c r="T82" s="523"/>
      <c r="U82" s="523"/>
      <c r="V82" s="523"/>
      <c r="W82" s="524">
        <f>'3. Scrap (GC)'!F32</f>
        <v>0</v>
      </c>
      <c r="X82" s="524">
        <f>'3. Scrap (GC)'!G32</f>
        <v>0</v>
      </c>
      <c r="Y82" s="524">
        <f>'3. Scrap (GC)'!H32</f>
        <v>0</v>
      </c>
      <c r="Z82" s="524">
        <f>'3. Scrap (GC)'!I32</f>
        <v>0</v>
      </c>
      <c r="AA82" s="524">
        <f>'3. Scrap (GC)'!J32</f>
        <v>0</v>
      </c>
      <c r="AB82" s="524">
        <f>'3. Scrap (GC)'!K32</f>
        <v>0</v>
      </c>
      <c r="AC82" s="524">
        <f>'3. Scrap (GC)'!L32</f>
        <v>0</v>
      </c>
      <c r="AD82" s="524">
        <f>'3. Scrap (GC)'!M32</f>
        <v>0</v>
      </c>
      <c r="AE82" s="524">
        <f>'3. Scrap (GC)'!N32</f>
        <v>0</v>
      </c>
      <c r="AF82" s="524">
        <f>'3. Scrap (GC)'!O32</f>
        <v>0</v>
      </c>
      <c r="AG82" s="524">
        <f>'3. Scrap (GC)'!P32</f>
        <v>0</v>
      </c>
      <c r="AH82" s="524">
        <f>'3. Scrap (GC)'!Q32</f>
        <v>0</v>
      </c>
      <c r="AI82" s="523"/>
      <c r="AJ82" s="523"/>
      <c r="AK82" s="523"/>
      <c r="AL82" s="523"/>
      <c r="AM82" s="523"/>
      <c r="AN82" s="524" t="str">
        <f>'3. Scrap (GC)'!B32</f>
        <v>Area 9</v>
      </c>
      <c r="AO82" s="524" t="str">
        <f>'3. Scrap (GC)'!W32</f>
        <v/>
      </c>
      <c r="AP82" s="439">
        <v>1506</v>
      </c>
      <c r="AQ82" s="439" t="str">
        <f>Settings!$A$1</f>
        <v>V2</v>
      </c>
    </row>
    <row r="83" spans="1:43" ht="12.75" customHeight="1" x14ac:dyDescent="0.2">
      <c r="A83" s="439">
        <f>'Input-FX Rates'!$C$4</f>
        <v>242</v>
      </c>
      <c r="B83" s="439" t="str">
        <f>'Input-FX Rates'!$B$4</f>
        <v>ICH Icheon (242)</v>
      </c>
      <c r="C83" s="439">
        <f>'Input-FX Rates'!$C$6</f>
        <v>750</v>
      </c>
      <c r="D83" s="439" t="str">
        <f>'Input-FX Rates'!$B$6</f>
        <v>750 BU Sensorics &amp; Controls</v>
      </c>
      <c r="E83" s="439" t="str">
        <f>'Input-FX Rates'!$C$5</f>
        <v>7521 &amp; 7522</v>
      </c>
      <c r="F83" s="439" t="str">
        <f>'Input-FX Rates'!$B$5</f>
        <v>7521 &amp; 7522 PL Mechatronic Sensors (&amp; Electrification)</v>
      </c>
      <c r="G83" s="439" t="s">
        <v>1422</v>
      </c>
      <c r="H83" s="439" t="s">
        <v>375</v>
      </c>
      <c r="I83" s="523"/>
      <c r="J83" s="523"/>
      <c r="K83" s="524">
        <f>'3. Scrap (GC)'!C34</f>
        <v>0</v>
      </c>
      <c r="L83" s="524">
        <f>'3. Scrap (GC)'!E34</f>
        <v>0</v>
      </c>
      <c r="M83" s="523"/>
      <c r="N83" s="523"/>
      <c r="O83" s="524">
        <f>'3. Scrap (GC)'!R34</f>
        <v>0</v>
      </c>
      <c r="P83" s="524">
        <f>'3. Scrap (GC)'!S34</f>
        <v>0</v>
      </c>
      <c r="Q83" s="523"/>
      <c r="R83" s="523"/>
      <c r="S83" s="523"/>
      <c r="T83" s="523"/>
      <c r="U83" s="523"/>
      <c r="V83" s="523"/>
      <c r="W83" s="524">
        <f>'3. Scrap (GC)'!F34</f>
        <v>0</v>
      </c>
      <c r="X83" s="524">
        <f>'3. Scrap (GC)'!G34</f>
        <v>0</v>
      </c>
      <c r="Y83" s="524">
        <f>'3. Scrap (GC)'!H34</f>
        <v>0</v>
      </c>
      <c r="Z83" s="524">
        <f>'3. Scrap (GC)'!I34</f>
        <v>0</v>
      </c>
      <c r="AA83" s="524">
        <f>'3. Scrap (GC)'!J34</f>
        <v>0</v>
      </c>
      <c r="AB83" s="524">
        <f>'3. Scrap (GC)'!K34</f>
        <v>0</v>
      </c>
      <c r="AC83" s="524">
        <f>'3. Scrap (GC)'!L34</f>
        <v>0</v>
      </c>
      <c r="AD83" s="524">
        <f>'3. Scrap (GC)'!M34</f>
        <v>0</v>
      </c>
      <c r="AE83" s="524">
        <f>'3. Scrap (GC)'!N34</f>
        <v>0</v>
      </c>
      <c r="AF83" s="524">
        <f>'3. Scrap (GC)'!O34</f>
        <v>0</v>
      </c>
      <c r="AG83" s="524">
        <f>'3. Scrap (GC)'!P34</f>
        <v>0</v>
      </c>
      <c r="AH83" s="524">
        <f>'3. Scrap (GC)'!Q34</f>
        <v>0</v>
      </c>
      <c r="AI83" s="523"/>
      <c r="AJ83" s="523"/>
      <c r="AK83" s="523"/>
      <c r="AL83" s="523"/>
      <c r="AM83" s="523"/>
      <c r="AN83" s="524" t="str">
        <f>'3. Scrap (GC)'!B34</f>
        <v>Area 10</v>
      </c>
      <c r="AO83" s="524" t="str">
        <f>'3. Scrap (GC)'!W34</f>
        <v/>
      </c>
      <c r="AP83" s="439">
        <v>1507</v>
      </c>
      <c r="AQ83" s="439" t="str">
        <f>Settings!$A$1</f>
        <v>V2</v>
      </c>
    </row>
    <row r="84" spans="1:43" ht="12.75" customHeight="1" x14ac:dyDescent="0.2">
      <c r="A84" s="439">
        <f>'Input-FX Rates'!$C$4</f>
        <v>242</v>
      </c>
      <c r="B84" s="439" t="str">
        <f>'Input-FX Rates'!$B$4</f>
        <v>ICH Icheon (242)</v>
      </c>
      <c r="C84" s="439">
        <f>'Input-FX Rates'!$C$6</f>
        <v>750</v>
      </c>
      <c r="D84" s="439" t="str">
        <f>'Input-FX Rates'!$B$6</f>
        <v>750 BU Sensorics &amp; Controls</v>
      </c>
      <c r="E84" s="439" t="str">
        <f>'Input-FX Rates'!$C$5</f>
        <v>7521 &amp; 7522</v>
      </c>
      <c r="F84" s="439" t="str">
        <f>'Input-FX Rates'!$B$5</f>
        <v>7521 &amp; 7522 PL Mechatronic Sensors (&amp; Electrification)</v>
      </c>
      <c r="G84" s="439" t="s">
        <v>1422</v>
      </c>
      <c r="H84" s="439" t="s">
        <v>377</v>
      </c>
      <c r="I84" s="523"/>
      <c r="J84" s="523"/>
      <c r="K84" s="524">
        <f>'3. Scrap (GC)'!C35</f>
        <v>0</v>
      </c>
      <c r="L84" s="524">
        <f>'3. Scrap (GC)'!E35</f>
        <v>0</v>
      </c>
      <c r="M84" s="523"/>
      <c r="N84" s="523"/>
      <c r="O84" s="524">
        <f>'3. Scrap (GC)'!R35</f>
        <v>0</v>
      </c>
      <c r="P84" s="524">
        <f>'3. Scrap (GC)'!S35</f>
        <v>0</v>
      </c>
      <c r="Q84" s="523"/>
      <c r="R84" s="523"/>
      <c r="S84" s="523"/>
      <c r="T84" s="523"/>
      <c r="U84" s="523"/>
      <c r="V84" s="523"/>
      <c r="W84" s="524">
        <f>'3. Scrap (GC)'!F35</f>
        <v>0</v>
      </c>
      <c r="X84" s="524">
        <f>'3. Scrap (GC)'!G35</f>
        <v>0</v>
      </c>
      <c r="Y84" s="524">
        <f>'3. Scrap (GC)'!H35</f>
        <v>0</v>
      </c>
      <c r="Z84" s="524">
        <f>'3. Scrap (GC)'!I35</f>
        <v>0</v>
      </c>
      <c r="AA84" s="524">
        <f>'3. Scrap (GC)'!J35</f>
        <v>0</v>
      </c>
      <c r="AB84" s="524">
        <f>'3. Scrap (GC)'!K35</f>
        <v>0</v>
      </c>
      <c r="AC84" s="524">
        <f>'3. Scrap (GC)'!L35</f>
        <v>0</v>
      </c>
      <c r="AD84" s="524">
        <f>'3. Scrap (GC)'!M35</f>
        <v>0</v>
      </c>
      <c r="AE84" s="524">
        <f>'3. Scrap (GC)'!N35</f>
        <v>0</v>
      </c>
      <c r="AF84" s="524">
        <f>'3. Scrap (GC)'!O35</f>
        <v>0</v>
      </c>
      <c r="AG84" s="524">
        <f>'3. Scrap (GC)'!P35</f>
        <v>0</v>
      </c>
      <c r="AH84" s="524">
        <f>'3. Scrap (GC)'!Q35</f>
        <v>0</v>
      </c>
      <c r="AI84" s="523"/>
      <c r="AJ84" s="523"/>
      <c r="AK84" s="523"/>
      <c r="AL84" s="523"/>
      <c r="AM84" s="523"/>
      <c r="AN84" s="524" t="str">
        <f>'3. Scrap (GC)'!B35</f>
        <v>Area 10</v>
      </c>
      <c r="AO84" s="524" t="str">
        <f>'3. Scrap (GC)'!W35</f>
        <v/>
      </c>
      <c r="AP84" s="439">
        <v>1508</v>
      </c>
      <c r="AQ84" s="439" t="str">
        <f>Settings!$A$1</f>
        <v>V2</v>
      </c>
    </row>
    <row r="85" spans="1:43" ht="12.75" customHeight="1" x14ac:dyDescent="0.2">
      <c r="A85" s="439">
        <f>'Input-FX Rates'!$C$4</f>
        <v>242</v>
      </c>
      <c r="B85" s="439" t="str">
        <f>'Input-FX Rates'!$B$4</f>
        <v>ICH Icheon (242)</v>
      </c>
      <c r="C85" s="439">
        <f>'Input-FX Rates'!$C$6</f>
        <v>750</v>
      </c>
      <c r="D85" s="439" t="str">
        <f>'Input-FX Rates'!$B$6</f>
        <v>750 BU Sensorics &amp; Controls</v>
      </c>
      <c r="E85" s="439" t="str">
        <f>'Input-FX Rates'!$C$5</f>
        <v>7521 &amp; 7522</v>
      </c>
      <c r="F85" s="439" t="str">
        <f>'Input-FX Rates'!$B$5</f>
        <v>7521 &amp; 7522 PL Mechatronic Sensors (&amp; Electrification)</v>
      </c>
      <c r="G85" s="439" t="s">
        <v>1422</v>
      </c>
      <c r="H85" s="439" t="s">
        <v>379</v>
      </c>
      <c r="I85" s="523"/>
      <c r="J85" s="523"/>
      <c r="K85" s="524">
        <f>'3. Scrap (GC)'!C37</f>
        <v>0</v>
      </c>
      <c r="L85" s="524">
        <f>'3. Scrap (GC)'!E37</f>
        <v>0</v>
      </c>
      <c r="M85" s="523"/>
      <c r="N85" s="523"/>
      <c r="O85" s="524">
        <f>'3. Scrap (GC)'!R37</f>
        <v>2.0071607179119569E-14</v>
      </c>
      <c r="P85" s="524">
        <f>'3. Scrap (GC)'!S37</f>
        <v>0</v>
      </c>
      <c r="Q85" s="523"/>
      <c r="R85" s="523"/>
      <c r="S85" s="523"/>
      <c r="T85" s="523"/>
      <c r="U85" s="523"/>
      <c r="V85" s="523"/>
      <c r="W85" s="524">
        <f>'3. Scrap (GC)'!F37</f>
        <v>1.5198553416572897E-9</v>
      </c>
      <c r="X85" s="524">
        <f>'3. Scrap (GC)'!G37</f>
        <v>7.3795670624380797E-8</v>
      </c>
      <c r="Y85" s="524">
        <f>'3. Scrap (GC)'!H37</f>
        <v>-1.9466035908031887E-7</v>
      </c>
      <c r="Z85" s="524">
        <f>'3. Scrap (GC)'!I37</f>
        <v>7.3795670624380797E-8</v>
      </c>
      <c r="AA85" s="524">
        <f>'3. Scrap (GC)'!J37</f>
        <v>-3.180932799295988E-7</v>
      </c>
      <c r="AB85" s="524">
        <f>'3. Scrap (GC)'!K37</f>
        <v>-1.8887532923113685E-8</v>
      </c>
      <c r="AC85" s="524">
        <f>'3. Scrap (GC)'!L37</f>
        <v>2.5157625024239053E-7</v>
      </c>
      <c r="AD85" s="524">
        <f>'3. Scrap (GC)'!M37</f>
        <v>6.9605895736583925E-8</v>
      </c>
      <c r="AE85" s="524">
        <f>'3. Scrap (GC)'!N37</f>
        <v>3.1102432519125207E-8</v>
      </c>
      <c r="AF85" s="524">
        <f>'3. Scrap (GC)'!O37</f>
        <v>-2.0994066603477755E-7</v>
      </c>
      <c r="AG85" s="524">
        <f>'3. Scrap (GC)'!P37</f>
        <v>-2.7880778737920173E-7</v>
      </c>
      <c r="AH85" s="524">
        <f>'3. Scrap (GC)'!Q37</f>
        <v>5.1899387033009935E-7</v>
      </c>
      <c r="AI85" s="523"/>
      <c r="AJ85" s="523"/>
      <c r="AK85" s="523"/>
      <c r="AL85" s="523"/>
      <c r="AM85" s="523"/>
      <c r="AN85" s="524" t="str">
        <f>'3. Scrap (GC)'!B37</f>
        <v>All Other</v>
      </c>
      <c r="AO85" s="524" t="str">
        <f>'3. Scrap (GC)'!W37</f>
        <v/>
      </c>
      <c r="AP85" s="439">
        <v>1509</v>
      </c>
      <c r="AQ85" s="439" t="str">
        <f>Settings!$A$1</f>
        <v>V2</v>
      </c>
    </row>
    <row r="86" spans="1:43" ht="12.75" customHeight="1" x14ac:dyDescent="0.2">
      <c r="A86" s="439">
        <f>'Input-FX Rates'!$C$4</f>
        <v>242</v>
      </c>
      <c r="B86" s="439" t="str">
        <f>'Input-FX Rates'!$B$4</f>
        <v>ICH Icheon (242)</v>
      </c>
      <c r="C86" s="439">
        <f>'Input-FX Rates'!$C$6</f>
        <v>750</v>
      </c>
      <c r="D86" s="439" t="str">
        <f>'Input-FX Rates'!$B$6</f>
        <v>750 BU Sensorics &amp; Controls</v>
      </c>
      <c r="E86" s="439" t="str">
        <f>'Input-FX Rates'!$C$5</f>
        <v>7521 &amp; 7522</v>
      </c>
      <c r="F86" s="439" t="str">
        <f>'Input-FX Rates'!$B$5</f>
        <v>7521 &amp; 7522 PL Mechatronic Sensors (&amp; Electrification)</v>
      </c>
      <c r="G86" s="439" t="s">
        <v>1422</v>
      </c>
      <c r="H86" s="439" t="s">
        <v>381</v>
      </c>
      <c r="I86" s="523"/>
      <c r="J86" s="523"/>
      <c r="K86" s="524">
        <f>'3. Scrap (GC)'!C38</f>
        <v>0</v>
      </c>
      <c r="L86" s="524">
        <f>'3. Scrap (GC)'!E38</f>
        <v>0</v>
      </c>
      <c r="M86" s="523"/>
      <c r="N86" s="523"/>
      <c r="O86" s="524">
        <f>'3. Scrap (GC)'!R38</f>
        <v>868.3645479310353</v>
      </c>
      <c r="P86" s="524">
        <f>'3. Scrap (GC)'!S38</f>
        <v>0</v>
      </c>
      <c r="Q86" s="523"/>
      <c r="R86" s="523"/>
      <c r="S86" s="523"/>
      <c r="T86" s="523"/>
      <c r="U86" s="523"/>
      <c r="V86" s="523"/>
      <c r="W86" s="524">
        <f>'3. Scrap (GC)'!F38</f>
        <v>72.363712068965569</v>
      </c>
      <c r="X86" s="524">
        <f>'3. Scrap (GC)'!G38</f>
        <v>72.363712068965569</v>
      </c>
      <c r="Y86" s="524">
        <f>'3. Scrap (GC)'!H38</f>
        <v>72.363712413793209</v>
      </c>
      <c r="Z86" s="524">
        <f>'3. Scrap (GC)'!I38</f>
        <v>72.363712068965569</v>
      </c>
      <c r="AA86" s="524">
        <f>'3. Scrap (GC)'!J38</f>
        <v>72.363712068965569</v>
      </c>
      <c r="AB86" s="524">
        <f>'3. Scrap (GC)'!K38</f>
        <v>72.363712068965725</v>
      </c>
      <c r="AC86" s="524">
        <f>'3. Scrap (GC)'!L38</f>
        <v>72.363712413793365</v>
      </c>
      <c r="AD86" s="524">
        <f>'3. Scrap (GC)'!M38</f>
        <v>72.363712068965398</v>
      </c>
      <c r="AE86" s="524">
        <f>'3. Scrap (GC)'!N38</f>
        <v>72.363712068965398</v>
      </c>
      <c r="AF86" s="524">
        <f>'3. Scrap (GC)'!O38</f>
        <v>72.363712413793209</v>
      </c>
      <c r="AG86" s="524">
        <f>'3. Scrap (GC)'!P38</f>
        <v>72.363712068965398</v>
      </c>
      <c r="AH86" s="524">
        <f>'3. Scrap (GC)'!Q38</f>
        <v>72.363714137931424</v>
      </c>
      <c r="AI86" s="523"/>
      <c r="AJ86" s="523"/>
      <c r="AK86" s="523"/>
      <c r="AL86" s="523"/>
      <c r="AM86" s="523"/>
      <c r="AN86" s="524" t="str">
        <f>'3. Scrap (GC)'!B38</f>
        <v>All Other</v>
      </c>
      <c r="AO86" s="524" t="str">
        <f>'3. Scrap (GC)'!W38</f>
        <v/>
      </c>
      <c r="AP86" s="439">
        <v>1510</v>
      </c>
      <c r="AQ86" s="439" t="str">
        <f>Settings!$A$1</f>
        <v>V2</v>
      </c>
    </row>
    <row r="87" spans="1:43" ht="12.75" customHeight="1" x14ac:dyDescent="0.2">
      <c r="A87" s="439">
        <f>'Input-FX Rates'!$C$4</f>
        <v>242</v>
      </c>
      <c r="B87" s="439" t="str">
        <f>'Input-FX Rates'!$B$4</f>
        <v>ICH Icheon (242)</v>
      </c>
      <c r="C87" s="439">
        <f>'Input-FX Rates'!$C$6</f>
        <v>750</v>
      </c>
      <c r="D87" s="439" t="str">
        <f>'Input-FX Rates'!$B$6</f>
        <v>750 BU Sensorics &amp; Controls</v>
      </c>
      <c r="E87" s="439" t="str">
        <f>'Input-FX Rates'!$C$5</f>
        <v>7521 &amp; 7522</v>
      </c>
      <c r="F87" s="439" t="str">
        <f>'Input-FX Rates'!$B$5</f>
        <v>7521 &amp; 7522 PL Mechatronic Sensors (&amp; Electrification)</v>
      </c>
      <c r="G87" s="439" t="s">
        <v>1422</v>
      </c>
      <c r="H87" s="439" t="s">
        <v>1423</v>
      </c>
      <c r="I87" s="523"/>
      <c r="J87" s="523"/>
      <c r="K87" s="524">
        <f>'3. Scrap (GC)'!C40</f>
        <v>-24.391813677951223</v>
      </c>
      <c r="L87" s="524">
        <f>'3. Scrap (GC)'!E40</f>
        <v>-133.48466196864479</v>
      </c>
      <c r="M87" s="523"/>
      <c r="N87" s="523"/>
      <c r="O87" s="524">
        <f>'3. Scrap (GC)'!R40</f>
        <v>-55.939368965517225</v>
      </c>
      <c r="P87" s="524">
        <f>'3. Scrap (GC)'!S40</f>
        <v>0</v>
      </c>
      <c r="Q87" s="523"/>
      <c r="R87" s="523"/>
      <c r="S87" s="523"/>
      <c r="T87" s="523"/>
      <c r="U87" s="523"/>
      <c r="V87" s="523"/>
      <c r="W87" s="524">
        <f>'3. Scrap (GC)'!F40</f>
        <v>-4.7349993103448274</v>
      </c>
      <c r="X87" s="524">
        <f>'3. Scrap (GC)'!G40</f>
        <v>-4.7350358620689654</v>
      </c>
      <c r="Y87" s="524">
        <f>'3. Scrap (GC)'!H40</f>
        <v>-4.6079586206896552</v>
      </c>
      <c r="Z87" s="524">
        <f>'3. Scrap (GC)'!I40</f>
        <v>-4.7350358620689654</v>
      </c>
      <c r="AA87" s="524">
        <f>'3. Scrap (GC)'!J40</f>
        <v>-4.8622324137931034</v>
      </c>
      <c r="AB87" s="524">
        <f>'3. Scrap (GC)'!K40</f>
        <v>-4.5171579310344825</v>
      </c>
      <c r="AC87" s="524">
        <f>'3. Scrap (GC)'!L40</f>
        <v>-4.9043758620689655</v>
      </c>
      <c r="AD87" s="524">
        <f>'3. Scrap (GC)'!M40</f>
        <v>-4.7750475862068971</v>
      </c>
      <c r="AE87" s="524">
        <f>'3. Scrap (GC)'!N40</f>
        <v>-4.2587772413793106</v>
      </c>
      <c r="AF87" s="524">
        <f>'3. Scrap (GC)'!O40</f>
        <v>-4.904124827586207</v>
      </c>
      <c r="AG87" s="524">
        <f>'3. Scrap (GC)'!P40</f>
        <v>-4.7749627586206893</v>
      </c>
      <c r="AH87" s="524">
        <f>'3. Scrap (GC)'!Q40</f>
        <v>-4.1296606896551724</v>
      </c>
      <c r="AI87" s="523"/>
      <c r="AJ87" s="523"/>
      <c r="AK87" s="523"/>
      <c r="AL87" s="523"/>
      <c r="AM87" s="523"/>
      <c r="AN87" s="529"/>
      <c r="AO87" s="439" t="str">
        <f>'3. Scrap (GC)'!W40</f>
        <v/>
      </c>
      <c r="AP87" s="439">
        <v>51</v>
      </c>
      <c r="AQ87" s="439" t="str">
        <f>Settings!$A$1</f>
        <v>V2</v>
      </c>
    </row>
    <row r="88" spans="1:43" ht="12.75" customHeight="1" x14ac:dyDescent="0.2">
      <c r="A88" s="439">
        <f>'Input-FX Rates'!$C$4</f>
        <v>242</v>
      </c>
      <c r="B88" s="439" t="str">
        <f>'Input-FX Rates'!$B$4</f>
        <v>ICH Icheon (242)</v>
      </c>
      <c r="C88" s="439">
        <f>'Input-FX Rates'!$C$6</f>
        <v>750</v>
      </c>
      <c r="D88" s="439" t="str">
        <f>'Input-FX Rates'!$B$6</f>
        <v>750 BU Sensorics &amp; Controls</v>
      </c>
      <c r="E88" s="439" t="str">
        <f>'Input-FX Rates'!$C$5</f>
        <v>7521 &amp; 7522</v>
      </c>
      <c r="F88" s="439" t="str">
        <f>'Input-FX Rates'!$B$5</f>
        <v>7521 &amp; 7522 PL Mechatronic Sensors (&amp; Electrification)</v>
      </c>
      <c r="G88" s="439" t="s">
        <v>1422</v>
      </c>
      <c r="H88" s="439" t="s">
        <v>1424</v>
      </c>
      <c r="I88" s="523"/>
      <c r="J88" s="523"/>
      <c r="K88" s="524">
        <f>'3. Scrap (GC)'!C41</f>
        <v>7249.997525078973</v>
      </c>
      <c r="L88" s="524">
        <f>'3. Scrap (GC)'!E41</f>
        <v>15111.540802308424</v>
      </c>
      <c r="M88" s="523"/>
      <c r="N88" s="523"/>
      <c r="O88" s="524">
        <f>'3. Scrap (GC)'!R41</f>
        <v>14187.261937931033</v>
      </c>
      <c r="P88" s="524">
        <f>'3. Scrap (GC)'!S41</f>
        <v>0</v>
      </c>
      <c r="Q88" s="523"/>
      <c r="R88" s="523"/>
      <c r="S88" s="523"/>
      <c r="T88" s="523"/>
      <c r="U88" s="523"/>
      <c r="V88" s="523"/>
      <c r="W88" s="524">
        <f>'3. Scrap (GC)'!F41</f>
        <v>1199.7445020689654</v>
      </c>
      <c r="X88" s="524">
        <f>'3. Scrap (GC)'!G41</f>
        <v>1199.7532220689654</v>
      </c>
      <c r="Y88" s="524">
        <f>'3. Scrap (GC)'!H41</f>
        <v>1169.4966724137932</v>
      </c>
      <c r="Z88" s="524">
        <f>'3. Scrap (GC)'!I41</f>
        <v>1199.7532220689654</v>
      </c>
      <c r="AA88" s="524">
        <f>'3. Scrap (GC)'!J41</f>
        <v>1230.0380220689656</v>
      </c>
      <c r="AB88" s="524">
        <f>'3. Scrap (GC)'!K41</f>
        <v>1147.8775020689654</v>
      </c>
      <c r="AC88" s="524">
        <f>'3. Scrap (GC)'!L41</f>
        <v>1240.072312413793</v>
      </c>
      <c r="AD88" s="524">
        <f>'3. Scrap (GC)'!M41</f>
        <v>1209.2798220689656</v>
      </c>
      <c r="AE88" s="524">
        <f>'3. Scrap (GC)'!N41</f>
        <v>1086.3583020689655</v>
      </c>
      <c r="AF88" s="524">
        <f>'3. Scrap (GC)'!O41</f>
        <v>1240.012432413793</v>
      </c>
      <c r="AG88" s="524">
        <f>'3. Scrap (GC)'!P41</f>
        <v>1209.2595420689654</v>
      </c>
      <c r="AH88" s="524">
        <f>'3. Scrap (GC)'!Q41</f>
        <v>1055.6163841379309</v>
      </c>
      <c r="AI88" s="523"/>
      <c r="AJ88" s="523"/>
      <c r="AK88" s="523"/>
      <c r="AL88" s="523"/>
      <c r="AM88" s="523"/>
      <c r="AN88" s="529"/>
      <c r="AO88" s="439" t="str">
        <f>'3. Scrap (GC)'!W41</f>
        <v/>
      </c>
      <c r="AP88" s="439">
        <v>52</v>
      </c>
      <c r="AQ88" s="439" t="str">
        <f>Settings!$A$1</f>
        <v>V2</v>
      </c>
    </row>
    <row r="89" spans="1:43" ht="12.75" customHeight="1" x14ac:dyDescent="0.2">
      <c r="A89" s="439">
        <f>'Input-FX Rates'!$C$4</f>
        <v>242</v>
      </c>
      <c r="B89" s="439" t="str">
        <f>'Input-FX Rates'!$B$4</f>
        <v>ICH Icheon (242)</v>
      </c>
      <c r="C89" s="439">
        <f>'Input-FX Rates'!$C$6</f>
        <v>750</v>
      </c>
      <c r="D89" s="439" t="str">
        <f>'Input-FX Rates'!$B$6</f>
        <v>750 BU Sensorics &amp; Controls</v>
      </c>
      <c r="E89" s="439" t="str">
        <f>'Input-FX Rates'!$C$5</f>
        <v>7521 &amp; 7522</v>
      </c>
      <c r="F89" s="439" t="str">
        <f>'Input-FX Rates'!$B$5</f>
        <v>7521 &amp; 7522 PL Mechatronic Sensors (&amp; Electrification)</v>
      </c>
      <c r="G89" s="439" t="s">
        <v>1422</v>
      </c>
      <c r="H89" s="439" t="s">
        <v>387</v>
      </c>
      <c r="I89" s="523"/>
      <c r="J89" s="523"/>
      <c r="K89" s="524">
        <f>'3. Scrap (GC)'!C45</f>
        <v>0</v>
      </c>
      <c r="L89" s="524">
        <f>'3. Scrap (GC)'!E45</f>
        <v>0</v>
      </c>
      <c r="M89" s="523"/>
      <c r="N89" s="523"/>
      <c r="O89" s="524">
        <f>'3. Scrap (GC)'!R45</f>
        <v>0</v>
      </c>
      <c r="P89" s="524">
        <f>'3. Scrap (GC)'!S45</f>
        <v>0</v>
      </c>
      <c r="Q89" s="523"/>
      <c r="R89" s="523"/>
      <c r="S89" s="523"/>
      <c r="T89" s="523"/>
      <c r="U89" s="523"/>
      <c r="V89" s="523"/>
      <c r="W89" s="524">
        <f>'3. Scrap (GC)'!F45</f>
        <v>0</v>
      </c>
      <c r="X89" s="524">
        <f>'3. Scrap (GC)'!G45</f>
        <v>0</v>
      </c>
      <c r="Y89" s="524">
        <f>'3. Scrap (GC)'!H45</f>
        <v>0</v>
      </c>
      <c r="Z89" s="524">
        <f>'3. Scrap (GC)'!I45</f>
        <v>0</v>
      </c>
      <c r="AA89" s="524">
        <f>'3. Scrap (GC)'!J45</f>
        <v>0</v>
      </c>
      <c r="AB89" s="524">
        <f>'3. Scrap (GC)'!K45</f>
        <v>0</v>
      </c>
      <c r="AC89" s="524">
        <f>'3. Scrap (GC)'!L45</f>
        <v>0</v>
      </c>
      <c r="AD89" s="524">
        <f>'3. Scrap (GC)'!M45</f>
        <v>0</v>
      </c>
      <c r="AE89" s="524">
        <f>'3. Scrap (GC)'!N45</f>
        <v>0</v>
      </c>
      <c r="AF89" s="524">
        <f>'3. Scrap (GC)'!O45</f>
        <v>0</v>
      </c>
      <c r="AG89" s="524">
        <f>'3. Scrap (GC)'!P45</f>
        <v>0</v>
      </c>
      <c r="AH89" s="524">
        <f>'3. Scrap (GC)'!Q45</f>
        <v>0</v>
      </c>
      <c r="AI89" s="523"/>
      <c r="AJ89" s="523"/>
      <c r="AK89" s="523"/>
      <c r="AL89" s="523"/>
      <c r="AM89" s="523"/>
      <c r="AN89" s="529"/>
      <c r="AO89" s="439" t="str">
        <f>'3. Scrap (GC)'!W45</f>
        <v/>
      </c>
      <c r="AP89" s="439">
        <v>53</v>
      </c>
      <c r="AQ89" s="439" t="str">
        <f>Settings!$A$1</f>
        <v>V2</v>
      </c>
    </row>
    <row r="90" spans="1:43" ht="12.75" customHeight="1" x14ac:dyDescent="0.2">
      <c r="A90" s="439">
        <f>'Input-FX Rates'!$C$4</f>
        <v>242</v>
      </c>
      <c r="B90" s="439" t="str">
        <f>'Input-FX Rates'!$B$4</f>
        <v>ICH Icheon (242)</v>
      </c>
      <c r="C90" s="439">
        <f>'Input-FX Rates'!$C$6</f>
        <v>750</v>
      </c>
      <c r="D90" s="439" t="str">
        <f>'Input-FX Rates'!$B$6</f>
        <v>750 BU Sensorics &amp; Controls</v>
      </c>
      <c r="E90" s="439" t="str">
        <f>'Input-FX Rates'!$C$5</f>
        <v>7521 &amp; 7522</v>
      </c>
      <c r="F90" s="439" t="str">
        <f>'Input-FX Rates'!$B$5</f>
        <v>7521 &amp; 7522 PL Mechatronic Sensors (&amp; Electrification)</v>
      </c>
      <c r="G90" s="439" t="s">
        <v>1422</v>
      </c>
      <c r="H90" s="439" t="s">
        <v>389</v>
      </c>
      <c r="I90" s="523"/>
      <c r="J90" s="523"/>
      <c r="K90" s="524">
        <f>'3. Scrap (GC)'!C46</f>
        <v>0</v>
      </c>
      <c r="L90" s="524">
        <f>'3. Scrap (GC)'!E46</f>
        <v>0</v>
      </c>
      <c r="M90" s="523"/>
      <c r="N90" s="523"/>
      <c r="O90" s="524">
        <f>'3. Scrap (GC)'!R46</f>
        <v>0</v>
      </c>
      <c r="P90" s="524">
        <f>'3. Scrap (GC)'!S46</f>
        <v>0</v>
      </c>
      <c r="Q90" s="523"/>
      <c r="R90" s="523"/>
      <c r="S90" s="523"/>
      <c r="T90" s="523"/>
      <c r="U90" s="523"/>
      <c r="V90" s="523"/>
      <c r="W90" s="524">
        <f>'3. Scrap (GC)'!F46</f>
        <v>0</v>
      </c>
      <c r="X90" s="524">
        <f>'3. Scrap (GC)'!G46</f>
        <v>0</v>
      </c>
      <c r="Y90" s="524">
        <f>'3. Scrap (GC)'!H46</f>
        <v>0</v>
      </c>
      <c r="Z90" s="524">
        <f>'3. Scrap (GC)'!I46</f>
        <v>0</v>
      </c>
      <c r="AA90" s="524">
        <f>'3. Scrap (GC)'!J46</f>
        <v>0</v>
      </c>
      <c r="AB90" s="524">
        <f>'3. Scrap (GC)'!K46</f>
        <v>0</v>
      </c>
      <c r="AC90" s="524">
        <f>'3. Scrap (GC)'!L46</f>
        <v>0</v>
      </c>
      <c r="AD90" s="524">
        <f>'3. Scrap (GC)'!M46</f>
        <v>0</v>
      </c>
      <c r="AE90" s="524">
        <f>'3. Scrap (GC)'!N46</f>
        <v>0</v>
      </c>
      <c r="AF90" s="524">
        <f>'3. Scrap (GC)'!O46</f>
        <v>0</v>
      </c>
      <c r="AG90" s="524">
        <f>'3. Scrap (GC)'!P46</f>
        <v>0</v>
      </c>
      <c r="AH90" s="524">
        <f>'3. Scrap (GC)'!Q46</f>
        <v>0</v>
      </c>
      <c r="AI90" s="523"/>
      <c r="AJ90" s="523"/>
      <c r="AK90" s="523"/>
      <c r="AL90" s="523"/>
      <c r="AM90" s="523"/>
      <c r="AN90" s="529"/>
      <c r="AO90" s="439" t="str">
        <f>'3. Scrap (GC)'!W46</f>
        <v/>
      </c>
      <c r="AP90" s="439">
        <v>54</v>
      </c>
      <c r="AQ90" s="439" t="str">
        <f>Settings!$A$1</f>
        <v>V2</v>
      </c>
    </row>
    <row r="91" spans="1:43" ht="12.75" customHeight="1" x14ac:dyDescent="0.2">
      <c r="A91" s="439">
        <f>'Input-FX Rates'!$C$4</f>
        <v>242</v>
      </c>
      <c r="B91" s="439" t="str">
        <f>'Input-FX Rates'!$B$4</f>
        <v>ICH Icheon (242)</v>
      </c>
      <c r="C91" s="439">
        <f>'Input-FX Rates'!$C$6</f>
        <v>750</v>
      </c>
      <c r="D91" s="439" t="str">
        <f>'Input-FX Rates'!$B$6</f>
        <v>750 BU Sensorics &amp; Controls</v>
      </c>
      <c r="E91" s="439" t="str">
        <f>'Input-FX Rates'!$C$5</f>
        <v>7521 &amp; 7522</v>
      </c>
      <c r="F91" s="439" t="str">
        <f>'Input-FX Rates'!$B$5</f>
        <v>7521 &amp; 7522 PL Mechatronic Sensors (&amp; Electrification)</v>
      </c>
      <c r="G91" s="439" t="s">
        <v>1422</v>
      </c>
      <c r="H91" s="439" t="s">
        <v>307</v>
      </c>
      <c r="I91" s="523"/>
      <c r="J91" s="523"/>
      <c r="K91" s="524">
        <f>'3. Scrap (GC)'!C47</f>
        <v>0</v>
      </c>
      <c r="L91" s="524">
        <f>'3. Scrap (GC)'!E47</f>
        <v>0</v>
      </c>
      <c r="M91" s="523"/>
      <c r="N91" s="523"/>
      <c r="O91" s="524">
        <f>'3. Scrap (GC)'!R47</f>
        <v>0</v>
      </c>
      <c r="P91" s="524">
        <f>'3. Scrap (GC)'!S47</f>
        <v>0</v>
      </c>
      <c r="Q91" s="523"/>
      <c r="R91" s="523"/>
      <c r="S91" s="523"/>
      <c r="T91" s="523"/>
      <c r="U91" s="523"/>
      <c r="V91" s="523"/>
      <c r="W91" s="524">
        <f>'3. Scrap (GC)'!F47</f>
        <v>0</v>
      </c>
      <c r="X91" s="524">
        <f>'3. Scrap (GC)'!G47</f>
        <v>0</v>
      </c>
      <c r="Y91" s="524">
        <f>'3. Scrap (GC)'!H47</f>
        <v>0</v>
      </c>
      <c r="Z91" s="524">
        <f>'3. Scrap (GC)'!I47</f>
        <v>0</v>
      </c>
      <c r="AA91" s="524">
        <f>'3. Scrap (GC)'!J47</f>
        <v>0</v>
      </c>
      <c r="AB91" s="524">
        <f>'3. Scrap (GC)'!K47</f>
        <v>0</v>
      </c>
      <c r="AC91" s="524">
        <f>'3. Scrap (GC)'!L47</f>
        <v>0</v>
      </c>
      <c r="AD91" s="524">
        <f>'3. Scrap (GC)'!M47</f>
        <v>0</v>
      </c>
      <c r="AE91" s="524">
        <f>'3. Scrap (GC)'!N47</f>
        <v>0</v>
      </c>
      <c r="AF91" s="524">
        <f>'3. Scrap (GC)'!O47</f>
        <v>0</v>
      </c>
      <c r="AG91" s="524">
        <f>'3. Scrap (GC)'!P47</f>
        <v>0</v>
      </c>
      <c r="AH91" s="524">
        <f>'3. Scrap (GC)'!Q47</f>
        <v>0</v>
      </c>
      <c r="AI91" s="523"/>
      <c r="AJ91" s="523"/>
      <c r="AK91" s="523"/>
      <c r="AL91" s="523"/>
      <c r="AM91" s="523"/>
      <c r="AN91" s="529"/>
      <c r="AO91" s="439" t="str">
        <f>'3. Scrap (GC)'!W47</f>
        <v/>
      </c>
      <c r="AP91" s="439">
        <v>55</v>
      </c>
      <c r="AQ91" s="439" t="str">
        <f>Settings!$A$1</f>
        <v>V2</v>
      </c>
    </row>
    <row r="92" spans="1:43" ht="12.75" customHeight="1" x14ac:dyDescent="0.2">
      <c r="A92" s="439">
        <f>'Input-FX Rates'!$C$4</f>
        <v>242</v>
      </c>
      <c r="B92" s="439" t="str">
        <f>'Input-FX Rates'!$B$4</f>
        <v>ICH Icheon (242)</v>
      </c>
      <c r="C92" s="439">
        <f>'Input-FX Rates'!$C$6</f>
        <v>750</v>
      </c>
      <c r="D92" s="439" t="str">
        <f>'Input-FX Rates'!$B$6</f>
        <v>750 BU Sensorics &amp; Controls</v>
      </c>
      <c r="E92" s="439" t="str">
        <f>'Input-FX Rates'!$C$5</f>
        <v>7521 &amp; 7522</v>
      </c>
      <c r="F92" s="439" t="str">
        <f>'Input-FX Rates'!$B$5</f>
        <v>7521 &amp; 7522 PL Mechatronic Sensors (&amp; Electrification)</v>
      </c>
      <c r="G92" s="439" t="s">
        <v>1422</v>
      </c>
      <c r="H92" s="439" t="s">
        <v>1425</v>
      </c>
      <c r="I92" s="523"/>
      <c r="J92" s="523"/>
      <c r="K92" s="524">
        <f>'3. Scrap (GC)'!C50</f>
        <v>0</v>
      </c>
      <c r="L92" s="524">
        <f>'3. Scrap (GC)'!E50</f>
        <v>0</v>
      </c>
      <c r="M92" s="523"/>
      <c r="N92" s="523"/>
      <c r="O92" s="524">
        <f>'3. Scrap (GC)'!R50</f>
        <v>0</v>
      </c>
      <c r="P92" s="524">
        <f>'3. Scrap (GC)'!S50</f>
        <v>0</v>
      </c>
      <c r="Q92" s="523"/>
      <c r="R92" s="523"/>
      <c r="S92" s="523"/>
      <c r="T92" s="523"/>
      <c r="U92" s="523"/>
      <c r="V92" s="523"/>
      <c r="W92" s="524">
        <f>'3. Scrap (GC)'!F50</f>
        <v>0</v>
      </c>
      <c r="X92" s="524">
        <f>'3. Scrap (GC)'!G50</f>
        <v>0</v>
      </c>
      <c r="Y92" s="524">
        <f>'3. Scrap (GC)'!H50</f>
        <v>0</v>
      </c>
      <c r="Z92" s="524">
        <f>'3. Scrap (GC)'!I50</f>
        <v>0</v>
      </c>
      <c r="AA92" s="524">
        <f>'3. Scrap (GC)'!J50</f>
        <v>0</v>
      </c>
      <c r="AB92" s="524">
        <f>'3. Scrap (GC)'!K50</f>
        <v>0</v>
      </c>
      <c r="AC92" s="524">
        <f>'3. Scrap (GC)'!L50</f>
        <v>0</v>
      </c>
      <c r="AD92" s="524">
        <f>'3. Scrap (GC)'!M50</f>
        <v>0</v>
      </c>
      <c r="AE92" s="524">
        <f>'3. Scrap (GC)'!N50</f>
        <v>0</v>
      </c>
      <c r="AF92" s="524">
        <f>'3. Scrap (GC)'!O50</f>
        <v>0</v>
      </c>
      <c r="AG92" s="524">
        <f>'3. Scrap (GC)'!P50</f>
        <v>0</v>
      </c>
      <c r="AH92" s="524">
        <f>'3. Scrap (GC)'!Q50</f>
        <v>0</v>
      </c>
      <c r="AI92" s="523"/>
      <c r="AJ92" s="523"/>
      <c r="AK92" s="523"/>
      <c r="AL92" s="523"/>
      <c r="AM92" s="523"/>
      <c r="AN92" s="524" t="str">
        <f>'3. Scrap (GC)'!B50</f>
        <v>Area 1</v>
      </c>
      <c r="AO92" s="439" t="str">
        <f>'3. Scrap (GC)'!W50</f>
        <v/>
      </c>
      <c r="AP92" s="439">
        <v>56</v>
      </c>
      <c r="AQ92" s="439" t="str">
        <f>Settings!$A$1</f>
        <v>V2</v>
      </c>
    </row>
    <row r="93" spans="1:43" ht="12.75" customHeight="1" x14ac:dyDescent="0.2">
      <c r="A93" s="439">
        <f>'Input-FX Rates'!$C$4</f>
        <v>242</v>
      </c>
      <c r="B93" s="439" t="str">
        <f>'Input-FX Rates'!$B$4</f>
        <v>ICH Icheon (242)</v>
      </c>
      <c r="C93" s="439">
        <f>'Input-FX Rates'!$C$6</f>
        <v>750</v>
      </c>
      <c r="D93" s="439" t="str">
        <f>'Input-FX Rates'!$B$6</f>
        <v>750 BU Sensorics &amp; Controls</v>
      </c>
      <c r="E93" s="439" t="str">
        <f>'Input-FX Rates'!$C$5</f>
        <v>7521 &amp; 7522</v>
      </c>
      <c r="F93" s="439" t="str">
        <f>'Input-FX Rates'!$B$5</f>
        <v>7521 &amp; 7522 PL Mechatronic Sensors (&amp; Electrification)</v>
      </c>
      <c r="G93" s="439" t="s">
        <v>1422</v>
      </c>
      <c r="H93" s="439" t="s">
        <v>1426</v>
      </c>
      <c r="I93" s="523"/>
      <c r="J93" s="523"/>
      <c r="K93" s="524">
        <f>'3. Scrap (GC)'!C51</f>
        <v>0</v>
      </c>
      <c r="L93" s="524">
        <f>'3. Scrap (GC)'!E51</f>
        <v>0</v>
      </c>
      <c r="M93" s="523"/>
      <c r="N93" s="523"/>
      <c r="O93" s="524">
        <f>'3. Scrap (GC)'!R51</f>
        <v>0</v>
      </c>
      <c r="P93" s="524">
        <f>'3. Scrap (GC)'!S51</f>
        <v>0</v>
      </c>
      <c r="Q93" s="523"/>
      <c r="R93" s="523"/>
      <c r="S93" s="523"/>
      <c r="T93" s="523"/>
      <c r="U93" s="523"/>
      <c r="V93" s="523"/>
      <c r="W93" s="524">
        <f>'3. Scrap (GC)'!F51</f>
        <v>0</v>
      </c>
      <c r="X93" s="524">
        <f>'3. Scrap (GC)'!G51</f>
        <v>0</v>
      </c>
      <c r="Y93" s="524">
        <f>'3. Scrap (GC)'!H51</f>
        <v>0</v>
      </c>
      <c r="Z93" s="524">
        <f>'3. Scrap (GC)'!I51</f>
        <v>0</v>
      </c>
      <c r="AA93" s="524">
        <f>'3. Scrap (GC)'!J51</f>
        <v>0</v>
      </c>
      <c r="AB93" s="524">
        <f>'3. Scrap (GC)'!K51</f>
        <v>0</v>
      </c>
      <c r="AC93" s="524">
        <f>'3. Scrap (GC)'!L51</f>
        <v>0</v>
      </c>
      <c r="AD93" s="524">
        <f>'3. Scrap (GC)'!M51</f>
        <v>0</v>
      </c>
      <c r="AE93" s="524">
        <f>'3. Scrap (GC)'!N51</f>
        <v>0</v>
      </c>
      <c r="AF93" s="524">
        <f>'3. Scrap (GC)'!O51</f>
        <v>0</v>
      </c>
      <c r="AG93" s="524">
        <f>'3. Scrap (GC)'!P51</f>
        <v>0</v>
      </c>
      <c r="AH93" s="524">
        <f>'3. Scrap (GC)'!Q51</f>
        <v>0</v>
      </c>
      <c r="AI93" s="523"/>
      <c r="AJ93" s="523"/>
      <c r="AK93" s="523"/>
      <c r="AL93" s="523"/>
      <c r="AM93" s="523"/>
      <c r="AN93" s="524" t="str">
        <f>'3. Scrap (GC)'!B51</f>
        <v>Area 1</v>
      </c>
      <c r="AO93" s="439" t="str">
        <f>'3. Scrap (GC)'!W51</f>
        <v/>
      </c>
      <c r="AP93" s="439">
        <v>57</v>
      </c>
      <c r="AQ93" s="439" t="str">
        <f>Settings!$A$1</f>
        <v>V2</v>
      </c>
    </row>
    <row r="94" spans="1:43" ht="12.75" customHeight="1" x14ac:dyDescent="0.2">
      <c r="A94" s="439">
        <f>'Input-FX Rates'!$C$4</f>
        <v>242</v>
      </c>
      <c r="B94" s="439" t="str">
        <f>'Input-FX Rates'!$B$4</f>
        <v>ICH Icheon (242)</v>
      </c>
      <c r="C94" s="439">
        <f>'Input-FX Rates'!$C$6</f>
        <v>750</v>
      </c>
      <c r="D94" s="439" t="str">
        <f>'Input-FX Rates'!$B$6</f>
        <v>750 BU Sensorics &amp; Controls</v>
      </c>
      <c r="E94" s="439" t="str">
        <f>'Input-FX Rates'!$C$5</f>
        <v>7521 &amp; 7522</v>
      </c>
      <c r="F94" s="439" t="str">
        <f>'Input-FX Rates'!$B$5</f>
        <v>7521 &amp; 7522 PL Mechatronic Sensors (&amp; Electrification)</v>
      </c>
      <c r="G94" s="439" t="s">
        <v>1422</v>
      </c>
      <c r="H94" s="439" t="s">
        <v>1427</v>
      </c>
      <c r="I94" s="523"/>
      <c r="J94" s="523"/>
      <c r="K94" s="524">
        <f>'3. Scrap (GC)'!C52</f>
        <v>0</v>
      </c>
      <c r="L94" s="524">
        <f>'3. Scrap (GC)'!E52</f>
        <v>0</v>
      </c>
      <c r="M94" s="523"/>
      <c r="N94" s="523"/>
      <c r="O94" s="524">
        <f>'3. Scrap (GC)'!R52</f>
        <v>0</v>
      </c>
      <c r="P94" s="524">
        <f>'3. Scrap (GC)'!S52</f>
        <v>0</v>
      </c>
      <c r="Q94" s="523"/>
      <c r="R94" s="523"/>
      <c r="S94" s="523"/>
      <c r="T94" s="523"/>
      <c r="U94" s="523"/>
      <c r="V94" s="523"/>
      <c r="W94" s="524">
        <f>'3. Scrap (GC)'!F52</f>
        <v>0</v>
      </c>
      <c r="X94" s="524">
        <f>'3. Scrap (GC)'!G52</f>
        <v>0</v>
      </c>
      <c r="Y94" s="524">
        <f>'3. Scrap (GC)'!H52</f>
        <v>0</v>
      </c>
      <c r="Z94" s="524">
        <f>'3. Scrap (GC)'!I52</f>
        <v>0</v>
      </c>
      <c r="AA94" s="524">
        <f>'3. Scrap (GC)'!J52</f>
        <v>0</v>
      </c>
      <c r="AB94" s="524">
        <f>'3. Scrap (GC)'!K52</f>
        <v>0</v>
      </c>
      <c r="AC94" s="524">
        <f>'3. Scrap (GC)'!L52</f>
        <v>0</v>
      </c>
      <c r="AD94" s="524">
        <f>'3. Scrap (GC)'!M52</f>
        <v>0</v>
      </c>
      <c r="AE94" s="524">
        <f>'3. Scrap (GC)'!N52</f>
        <v>0</v>
      </c>
      <c r="AF94" s="524">
        <f>'3. Scrap (GC)'!O52</f>
        <v>0</v>
      </c>
      <c r="AG94" s="524">
        <f>'3. Scrap (GC)'!P52</f>
        <v>0</v>
      </c>
      <c r="AH94" s="524">
        <f>'3. Scrap (GC)'!Q52</f>
        <v>0</v>
      </c>
      <c r="AI94" s="523"/>
      <c r="AJ94" s="523"/>
      <c r="AK94" s="523"/>
      <c r="AL94" s="523"/>
      <c r="AM94" s="523"/>
      <c r="AN94" s="524" t="str">
        <f>'3. Scrap (GC)'!B52</f>
        <v>Area 1</v>
      </c>
      <c r="AO94" s="439" t="str">
        <f>'3. Scrap (GC)'!W52</f>
        <v/>
      </c>
      <c r="AP94" s="439">
        <v>58</v>
      </c>
      <c r="AQ94" s="439" t="str">
        <f>Settings!$A$1</f>
        <v>V2</v>
      </c>
    </row>
    <row r="95" spans="1:43" ht="12.75" customHeight="1" x14ac:dyDescent="0.2">
      <c r="A95" s="439">
        <f>'Input-FX Rates'!$C$4</f>
        <v>242</v>
      </c>
      <c r="B95" s="439" t="str">
        <f>'Input-FX Rates'!$B$4</f>
        <v>ICH Icheon (242)</v>
      </c>
      <c r="C95" s="439">
        <f>'Input-FX Rates'!$C$6</f>
        <v>750</v>
      </c>
      <c r="D95" s="439" t="str">
        <f>'Input-FX Rates'!$B$6</f>
        <v>750 BU Sensorics &amp; Controls</v>
      </c>
      <c r="E95" s="439" t="str">
        <f>'Input-FX Rates'!$C$5</f>
        <v>7521 &amp; 7522</v>
      </c>
      <c r="F95" s="439" t="str">
        <f>'Input-FX Rates'!$B$5</f>
        <v>7521 &amp; 7522 PL Mechatronic Sensors (&amp; Electrification)</v>
      </c>
      <c r="G95" s="439" t="s">
        <v>1422</v>
      </c>
      <c r="H95" s="439" t="s">
        <v>1428</v>
      </c>
      <c r="I95" s="523"/>
      <c r="J95" s="523"/>
      <c r="K95" s="524">
        <f>'3. Scrap (GC)'!C55</f>
        <v>0</v>
      </c>
      <c r="L95" s="524">
        <f>'3. Scrap (GC)'!E55</f>
        <v>0</v>
      </c>
      <c r="M95" s="523"/>
      <c r="N95" s="523"/>
      <c r="O95" s="524">
        <f>'3. Scrap (GC)'!R55</f>
        <v>0</v>
      </c>
      <c r="P95" s="524">
        <f>'3. Scrap (GC)'!S55</f>
        <v>0</v>
      </c>
      <c r="Q95" s="523"/>
      <c r="R95" s="523"/>
      <c r="S95" s="523"/>
      <c r="T95" s="523"/>
      <c r="U95" s="523"/>
      <c r="V95" s="523"/>
      <c r="W95" s="524">
        <f>'3. Scrap (GC)'!F55</f>
        <v>0</v>
      </c>
      <c r="X95" s="524">
        <f>'3. Scrap (GC)'!G55</f>
        <v>0</v>
      </c>
      <c r="Y95" s="524">
        <f>'3. Scrap (GC)'!H55</f>
        <v>0</v>
      </c>
      <c r="Z95" s="524">
        <f>'3. Scrap (GC)'!I55</f>
        <v>0</v>
      </c>
      <c r="AA95" s="524">
        <f>'3. Scrap (GC)'!J55</f>
        <v>0</v>
      </c>
      <c r="AB95" s="524">
        <f>'3. Scrap (GC)'!K55</f>
        <v>0</v>
      </c>
      <c r="AC95" s="524">
        <f>'3. Scrap (GC)'!L55</f>
        <v>0</v>
      </c>
      <c r="AD95" s="524">
        <f>'3. Scrap (GC)'!M55</f>
        <v>0</v>
      </c>
      <c r="AE95" s="524">
        <f>'3. Scrap (GC)'!N55</f>
        <v>0</v>
      </c>
      <c r="AF95" s="524">
        <f>'3. Scrap (GC)'!O55</f>
        <v>0</v>
      </c>
      <c r="AG95" s="524">
        <f>'3. Scrap (GC)'!P55</f>
        <v>0</v>
      </c>
      <c r="AH95" s="524">
        <f>'3. Scrap (GC)'!Q55</f>
        <v>0</v>
      </c>
      <c r="AI95" s="523"/>
      <c r="AJ95" s="523"/>
      <c r="AK95" s="523"/>
      <c r="AL95" s="523"/>
      <c r="AM95" s="523"/>
      <c r="AN95" s="524" t="str">
        <f>'3. Scrap (GC)'!B55</f>
        <v>Area 2</v>
      </c>
      <c r="AO95" s="439" t="str">
        <f>'3. Scrap (GC)'!W55</f>
        <v/>
      </c>
      <c r="AP95" s="439">
        <v>59</v>
      </c>
      <c r="AQ95" s="439" t="str">
        <f>Settings!$A$1</f>
        <v>V2</v>
      </c>
    </row>
    <row r="96" spans="1:43" ht="12.75" customHeight="1" x14ac:dyDescent="0.2">
      <c r="A96" s="439">
        <f>'Input-FX Rates'!$C$4</f>
        <v>242</v>
      </c>
      <c r="B96" s="439" t="str">
        <f>'Input-FX Rates'!$B$4</f>
        <v>ICH Icheon (242)</v>
      </c>
      <c r="C96" s="439">
        <f>'Input-FX Rates'!$C$6</f>
        <v>750</v>
      </c>
      <c r="D96" s="439" t="str">
        <f>'Input-FX Rates'!$B$6</f>
        <v>750 BU Sensorics &amp; Controls</v>
      </c>
      <c r="E96" s="439" t="str">
        <f>'Input-FX Rates'!$C$5</f>
        <v>7521 &amp; 7522</v>
      </c>
      <c r="F96" s="439" t="str">
        <f>'Input-FX Rates'!$B$5</f>
        <v>7521 &amp; 7522 PL Mechatronic Sensors (&amp; Electrification)</v>
      </c>
      <c r="G96" s="439" t="s">
        <v>1422</v>
      </c>
      <c r="H96" s="439" t="s">
        <v>1429</v>
      </c>
      <c r="I96" s="523"/>
      <c r="J96" s="523"/>
      <c r="K96" s="524">
        <f>'3. Scrap (GC)'!C56</f>
        <v>0</v>
      </c>
      <c r="L96" s="524">
        <f>'3. Scrap (GC)'!E56</f>
        <v>0</v>
      </c>
      <c r="M96" s="523"/>
      <c r="N96" s="523"/>
      <c r="O96" s="524">
        <f>'3. Scrap (GC)'!R56</f>
        <v>0</v>
      </c>
      <c r="P96" s="524">
        <f>'3. Scrap (GC)'!S56</f>
        <v>0</v>
      </c>
      <c r="Q96" s="523"/>
      <c r="R96" s="523"/>
      <c r="S96" s="523"/>
      <c r="T96" s="523"/>
      <c r="U96" s="523"/>
      <c r="V96" s="523"/>
      <c r="W96" s="524">
        <f>'3. Scrap (GC)'!F56</f>
        <v>0</v>
      </c>
      <c r="X96" s="524">
        <f>'3. Scrap (GC)'!G56</f>
        <v>0</v>
      </c>
      <c r="Y96" s="524">
        <f>'3. Scrap (GC)'!H56</f>
        <v>0</v>
      </c>
      <c r="Z96" s="524">
        <f>'3. Scrap (GC)'!I56</f>
        <v>0</v>
      </c>
      <c r="AA96" s="524">
        <f>'3. Scrap (GC)'!J56</f>
        <v>0</v>
      </c>
      <c r="AB96" s="524">
        <f>'3. Scrap (GC)'!K56</f>
        <v>0</v>
      </c>
      <c r="AC96" s="524">
        <f>'3. Scrap (GC)'!L56</f>
        <v>0</v>
      </c>
      <c r="AD96" s="524">
        <f>'3. Scrap (GC)'!M56</f>
        <v>0</v>
      </c>
      <c r="AE96" s="524">
        <f>'3. Scrap (GC)'!N56</f>
        <v>0</v>
      </c>
      <c r="AF96" s="524">
        <f>'3. Scrap (GC)'!O56</f>
        <v>0</v>
      </c>
      <c r="AG96" s="524">
        <f>'3. Scrap (GC)'!P56</f>
        <v>0</v>
      </c>
      <c r="AH96" s="524">
        <f>'3. Scrap (GC)'!Q56</f>
        <v>0</v>
      </c>
      <c r="AI96" s="523"/>
      <c r="AJ96" s="523"/>
      <c r="AK96" s="523"/>
      <c r="AL96" s="523"/>
      <c r="AM96" s="523"/>
      <c r="AN96" s="524" t="str">
        <f>'3. Scrap (GC)'!B56</f>
        <v>Area 2</v>
      </c>
      <c r="AO96" s="439" t="str">
        <f>'3. Scrap (GC)'!W56</f>
        <v/>
      </c>
      <c r="AP96" s="439">
        <v>60</v>
      </c>
      <c r="AQ96" s="439" t="str">
        <f>Settings!$A$1</f>
        <v>V2</v>
      </c>
    </row>
    <row r="97" spans="1:44" ht="12.75" customHeight="1" x14ac:dyDescent="0.2">
      <c r="A97" s="439">
        <f>'Input-FX Rates'!$C$4</f>
        <v>242</v>
      </c>
      <c r="B97" s="439" t="str">
        <f>'Input-FX Rates'!$B$4</f>
        <v>ICH Icheon (242)</v>
      </c>
      <c r="C97" s="439">
        <f>'Input-FX Rates'!$C$6</f>
        <v>750</v>
      </c>
      <c r="D97" s="439" t="str">
        <f>'Input-FX Rates'!$B$6</f>
        <v>750 BU Sensorics &amp; Controls</v>
      </c>
      <c r="E97" s="439" t="str">
        <f>'Input-FX Rates'!$C$5</f>
        <v>7521 &amp; 7522</v>
      </c>
      <c r="F97" s="439" t="str">
        <f>'Input-FX Rates'!$B$5</f>
        <v>7521 &amp; 7522 PL Mechatronic Sensors (&amp; Electrification)</v>
      </c>
      <c r="G97" s="439" t="s">
        <v>1422</v>
      </c>
      <c r="H97" s="439" t="s">
        <v>1430</v>
      </c>
      <c r="I97" s="523"/>
      <c r="J97" s="523"/>
      <c r="K97" s="524">
        <f>'3. Scrap (GC)'!C57</f>
        <v>0</v>
      </c>
      <c r="L97" s="524">
        <f>'3. Scrap (GC)'!E57</f>
        <v>0</v>
      </c>
      <c r="M97" s="523"/>
      <c r="N97" s="523"/>
      <c r="O97" s="524">
        <f>'3. Scrap (GC)'!R57</f>
        <v>0</v>
      </c>
      <c r="P97" s="524">
        <f>'3. Scrap (GC)'!S57</f>
        <v>0</v>
      </c>
      <c r="Q97" s="523"/>
      <c r="R97" s="523"/>
      <c r="S97" s="523"/>
      <c r="T97" s="523"/>
      <c r="U97" s="523"/>
      <c r="V97" s="523"/>
      <c r="W97" s="524">
        <f>'3. Scrap (GC)'!F57</f>
        <v>0</v>
      </c>
      <c r="X97" s="524">
        <f>'3. Scrap (GC)'!G57</f>
        <v>0</v>
      </c>
      <c r="Y97" s="524">
        <f>'3. Scrap (GC)'!H57</f>
        <v>0</v>
      </c>
      <c r="Z97" s="524">
        <f>'3. Scrap (GC)'!I57</f>
        <v>0</v>
      </c>
      <c r="AA97" s="524">
        <f>'3. Scrap (GC)'!J57</f>
        <v>0</v>
      </c>
      <c r="AB97" s="524">
        <f>'3. Scrap (GC)'!K57</f>
        <v>0</v>
      </c>
      <c r="AC97" s="524">
        <f>'3. Scrap (GC)'!L57</f>
        <v>0</v>
      </c>
      <c r="AD97" s="524">
        <f>'3. Scrap (GC)'!M57</f>
        <v>0</v>
      </c>
      <c r="AE97" s="524">
        <f>'3. Scrap (GC)'!N57</f>
        <v>0</v>
      </c>
      <c r="AF97" s="524">
        <f>'3. Scrap (GC)'!O57</f>
        <v>0</v>
      </c>
      <c r="AG97" s="524">
        <f>'3. Scrap (GC)'!P57</f>
        <v>0</v>
      </c>
      <c r="AH97" s="524">
        <f>'3. Scrap (GC)'!Q57</f>
        <v>0</v>
      </c>
      <c r="AI97" s="523"/>
      <c r="AJ97" s="523"/>
      <c r="AK97" s="523"/>
      <c r="AL97" s="523"/>
      <c r="AM97" s="523"/>
      <c r="AN97" s="524" t="str">
        <f>'3. Scrap (GC)'!B57</f>
        <v>Area 2</v>
      </c>
      <c r="AO97" s="439" t="str">
        <f>'3. Scrap (GC)'!W57</f>
        <v/>
      </c>
      <c r="AP97" s="439">
        <v>61</v>
      </c>
      <c r="AQ97" s="439" t="str">
        <f>Settings!$A$1</f>
        <v>V2</v>
      </c>
    </row>
    <row r="98" spans="1:44" ht="12.75" customHeight="1" x14ac:dyDescent="0.2">
      <c r="A98" s="439">
        <f>'Input-FX Rates'!$C$4</f>
        <v>242</v>
      </c>
      <c r="B98" s="439" t="str">
        <f>'Input-FX Rates'!$B$4</f>
        <v>ICH Icheon (242)</v>
      </c>
      <c r="C98" s="439">
        <f>'Input-FX Rates'!$C$6</f>
        <v>750</v>
      </c>
      <c r="D98" s="439" t="str">
        <f>'Input-FX Rates'!$B$6</f>
        <v>750 BU Sensorics &amp; Controls</v>
      </c>
      <c r="E98" s="439" t="str">
        <f>'Input-FX Rates'!$C$5</f>
        <v>7521 &amp; 7522</v>
      </c>
      <c r="F98" s="439" t="str">
        <f>'Input-FX Rates'!$B$5</f>
        <v>7521 &amp; 7522 PL Mechatronic Sensors (&amp; Electrification)</v>
      </c>
      <c r="G98" s="439" t="s">
        <v>1422</v>
      </c>
      <c r="H98" s="439" t="s">
        <v>1431</v>
      </c>
      <c r="I98" s="523"/>
      <c r="J98" s="523"/>
      <c r="K98" s="524">
        <f>'3. Scrap (GC)'!C60</f>
        <v>0</v>
      </c>
      <c r="L98" s="524">
        <f>'3. Scrap (GC)'!E60</f>
        <v>0</v>
      </c>
      <c r="M98" s="523"/>
      <c r="N98" s="523"/>
      <c r="O98" s="524">
        <f>'3. Scrap (GC)'!R60</f>
        <v>0</v>
      </c>
      <c r="P98" s="524">
        <f>'3. Scrap (GC)'!S60</f>
        <v>0</v>
      </c>
      <c r="Q98" s="523"/>
      <c r="R98" s="523"/>
      <c r="S98" s="523"/>
      <c r="T98" s="523"/>
      <c r="U98" s="523"/>
      <c r="V98" s="523"/>
      <c r="W98" s="524">
        <f>'3. Scrap (GC)'!F60</f>
        <v>0</v>
      </c>
      <c r="X98" s="524">
        <f>'3. Scrap (GC)'!G60</f>
        <v>0</v>
      </c>
      <c r="Y98" s="524">
        <f>'3. Scrap (GC)'!H60</f>
        <v>0</v>
      </c>
      <c r="Z98" s="524">
        <f>'3. Scrap (GC)'!I60</f>
        <v>0</v>
      </c>
      <c r="AA98" s="524">
        <f>'3. Scrap (GC)'!J60</f>
        <v>0</v>
      </c>
      <c r="AB98" s="524">
        <f>'3. Scrap (GC)'!K60</f>
        <v>0</v>
      </c>
      <c r="AC98" s="524">
        <f>'3. Scrap (GC)'!L60</f>
        <v>0</v>
      </c>
      <c r="AD98" s="524">
        <f>'3. Scrap (GC)'!M60</f>
        <v>0</v>
      </c>
      <c r="AE98" s="524">
        <f>'3. Scrap (GC)'!N60</f>
        <v>0</v>
      </c>
      <c r="AF98" s="524">
        <f>'3. Scrap (GC)'!O60</f>
        <v>0</v>
      </c>
      <c r="AG98" s="524">
        <f>'3. Scrap (GC)'!P60</f>
        <v>0</v>
      </c>
      <c r="AH98" s="524">
        <f>'3. Scrap (GC)'!Q60</f>
        <v>0</v>
      </c>
      <c r="AI98" s="523"/>
      <c r="AJ98" s="523"/>
      <c r="AK98" s="523"/>
      <c r="AL98" s="523"/>
      <c r="AM98" s="523"/>
      <c r="AN98" s="524" t="str">
        <f>'3. Scrap (GC)'!B60</f>
        <v>Area 3</v>
      </c>
      <c r="AO98" s="439" t="str">
        <f>'3. Scrap (GC)'!W60</f>
        <v/>
      </c>
      <c r="AP98" s="439">
        <v>62</v>
      </c>
      <c r="AQ98" s="439" t="str">
        <f>Settings!$A$1</f>
        <v>V2</v>
      </c>
    </row>
    <row r="99" spans="1:44" ht="12.75" customHeight="1" x14ac:dyDescent="0.2">
      <c r="A99" s="439">
        <f>'Input-FX Rates'!$C$4</f>
        <v>242</v>
      </c>
      <c r="B99" s="439" t="str">
        <f>'Input-FX Rates'!$B$4</f>
        <v>ICH Icheon (242)</v>
      </c>
      <c r="C99" s="439">
        <f>'Input-FX Rates'!$C$6</f>
        <v>750</v>
      </c>
      <c r="D99" s="439" t="str">
        <f>'Input-FX Rates'!$B$6</f>
        <v>750 BU Sensorics &amp; Controls</v>
      </c>
      <c r="E99" s="439" t="str">
        <f>'Input-FX Rates'!$C$5</f>
        <v>7521 &amp; 7522</v>
      </c>
      <c r="F99" s="439" t="str">
        <f>'Input-FX Rates'!$B$5</f>
        <v>7521 &amp; 7522 PL Mechatronic Sensors (&amp; Electrification)</v>
      </c>
      <c r="G99" s="439" t="s">
        <v>1422</v>
      </c>
      <c r="H99" s="439" t="s">
        <v>1432</v>
      </c>
      <c r="I99" s="523"/>
      <c r="J99" s="523"/>
      <c r="K99" s="524">
        <f>'3. Scrap (GC)'!C61</f>
        <v>0</v>
      </c>
      <c r="L99" s="524">
        <f>'3. Scrap (GC)'!E61</f>
        <v>0</v>
      </c>
      <c r="M99" s="523"/>
      <c r="N99" s="523"/>
      <c r="O99" s="524">
        <f>'3. Scrap (GC)'!R61</f>
        <v>0</v>
      </c>
      <c r="P99" s="524">
        <f>'3. Scrap (GC)'!S61</f>
        <v>0</v>
      </c>
      <c r="Q99" s="523"/>
      <c r="R99" s="523"/>
      <c r="S99" s="523"/>
      <c r="T99" s="523"/>
      <c r="U99" s="523"/>
      <c r="V99" s="523"/>
      <c r="W99" s="524">
        <f>'3. Scrap (GC)'!F61</f>
        <v>0</v>
      </c>
      <c r="X99" s="524">
        <f>'3. Scrap (GC)'!G61</f>
        <v>0</v>
      </c>
      <c r="Y99" s="524">
        <f>'3. Scrap (GC)'!H61</f>
        <v>0</v>
      </c>
      <c r="Z99" s="524">
        <f>'3. Scrap (GC)'!I61</f>
        <v>0</v>
      </c>
      <c r="AA99" s="524">
        <f>'3. Scrap (GC)'!J61</f>
        <v>0</v>
      </c>
      <c r="AB99" s="524">
        <f>'3. Scrap (GC)'!K61</f>
        <v>0</v>
      </c>
      <c r="AC99" s="524">
        <f>'3. Scrap (GC)'!L61</f>
        <v>0</v>
      </c>
      <c r="AD99" s="524">
        <f>'3. Scrap (GC)'!M61</f>
        <v>0</v>
      </c>
      <c r="AE99" s="524">
        <f>'3. Scrap (GC)'!N61</f>
        <v>0</v>
      </c>
      <c r="AF99" s="524">
        <f>'3. Scrap (GC)'!O61</f>
        <v>0</v>
      </c>
      <c r="AG99" s="524">
        <f>'3. Scrap (GC)'!P61</f>
        <v>0</v>
      </c>
      <c r="AH99" s="524">
        <f>'3. Scrap (GC)'!Q61</f>
        <v>0</v>
      </c>
      <c r="AI99" s="523"/>
      <c r="AJ99" s="523"/>
      <c r="AK99" s="523"/>
      <c r="AL99" s="523"/>
      <c r="AM99" s="523"/>
      <c r="AN99" s="524" t="str">
        <f>'3. Scrap (GC)'!B61</f>
        <v>Area 3</v>
      </c>
      <c r="AO99" s="439" t="str">
        <f>'3. Scrap (GC)'!W61</f>
        <v/>
      </c>
      <c r="AP99" s="439">
        <v>63</v>
      </c>
      <c r="AQ99" s="439" t="str">
        <f>Settings!$A$1</f>
        <v>V2</v>
      </c>
    </row>
    <row r="100" spans="1:44" ht="12.75" customHeight="1" x14ac:dyDescent="0.2">
      <c r="A100" s="439">
        <f>'Input-FX Rates'!$C$4</f>
        <v>242</v>
      </c>
      <c r="B100" s="439" t="str">
        <f>'Input-FX Rates'!$B$4</f>
        <v>ICH Icheon (242)</v>
      </c>
      <c r="C100" s="439">
        <f>'Input-FX Rates'!$C$6</f>
        <v>750</v>
      </c>
      <c r="D100" s="439" t="str">
        <f>'Input-FX Rates'!$B$6</f>
        <v>750 BU Sensorics &amp; Controls</v>
      </c>
      <c r="E100" s="439" t="str">
        <f>'Input-FX Rates'!$C$5</f>
        <v>7521 &amp; 7522</v>
      </c>
      <c r="F100" s="439" t="str">
        <f>'Input-FX Rates'!$B$5</f>
        <v>7521 &amp; 7522 PL Mechatronic Sensors (&amp; Electrification)</v>
      </c>
      <c r="G100" s="439" t="s">
        <v>1422</v>
      </c>
      <c r="H100" s="439" t="s">
        <v>1433</v>
      </c>
      <c r="I100" s="523"/>
      <c r="J100" s="523"/>
      <c r="K100" s="524">
        <f>'3. Scrap (GC)'!C62</f>
        <v>0</v>
      </c>
      <c r="L100" s="524">
        <f>'3. Scrap (GC)'!E62</f>
        <v>0</v>
      </c>
      <c r="M100" s="523"/>
      <c r="N100" s="523"/>
      <c r="O100" s="524">
        <f>'3. Scrap (GC)'!R62</f>
        <v>0</v>
      </c>
      <c r="P100" s="524">
        <f>'3. Scrap (GC)'!S62</f>
        <v>0</v>
      </c>
      <c r="Q100" s="523"/>
      <c r="R100" s="523"/>
      <c r="S100" s="523"/>
      <c r="T100" s="523"/>
      <c r="U100" s="523"/>
      <c r="V100" s="523"/>
      <c r="W100" s="524">
        <f>'3. Scrap (GC)'!F62</f>
        <v>0</v>
      </c>
      <c r="X100" s="524">
        <f>'3. Scrap (GC)'!G62</f>
        <v>0</v>
      </c>
      <c r="Y100" s="524">
        <f>'3. Scrap (GC)'!H62</f>
        <v>0</v>
      </c>
      <c r="Z100" s="524">
        <f>'3. Scrap (GC)'!I62</f>
        <v>0</v>
      </c>
      <c r="AA100" s="524">
        <f>'3. Scrap (GC)'!J62</f>
        <v>0</v>
      </c>
      <c r="AB100" s="524">
        <f>'3. Scrap (GC)'!K62</f>
        <v>0</v>
      </c>
      <c r="AC100" s="524">
        <f>'3. Scrap (GC)'!L62</f>
        <v>0</v>
      </c>
      <c r="AD100" s="524">
        <f>'3. Scrap (GC)'!M62</f>
        <v>0</v>
      </c>
      <c r="AE100" s="524">
        <f>'3. Scrap (GC)'!N62</f>
        <v>0</v>
      </c>
      <c r="AF100" s="524">
        <f>'3. Scrap (GC)'!O62</f>
        <v>0</v>
      </c>
      <c r="AG100" s="524">
        <f>'3. Scrap (GC)'!P62</f>
        <v>0</v>
      </c>
      <c r="AH100" s="524">
        <f>'3. Scrap (GC)'!Q62</f>
        <v>0</v>
      </c>
      <c r="AI100" s="523"/>
      <c r="AJ100" s="523"/>
      <c r="AK100" s="523"/>
      <c r="AL100" s="523"/>
      <c r="AM100" s="523"/>
      <c r="AN100" s="524" t="str">
        <f>'3. Scrap (GC)'!B62</f>
        <v>Area 3</v>
      </c>
      <c r="AO100" s="439" t="str">
        <f>'3. Scrap (GC)'!W62</f>
        <v/>
      </c>
      <c r="AP100" s="439">
        <v>64</v>
      </c>
      <c r="AQ100" s="439" t="str">
        <f>Settings!$A$1</f>
        <v>V2</v>
      </c>
    </row>
    <row r="101" spans="1:44" ht="12.75" customHeight="1" x14ac:dyDescent="0.2">
      <c r="A101" s="439">
        <f>'Input-FX Rates'!$C$4</f>
        <v>242</v>
      </c>
      <c r="B101" s="439" t="str">
        <f>'Input-FX Rates'!$B$4</f>
        <v>ICH Icheon (242)</v>
      </c>
      <c r="C101" s="439">
        <f>'Input-FX Rates'!$C$6</f>
        <v>750</v>
      </c>
      <c r="D101" s="439" t="str">
        <f>'Input-FX Rates'!$B$6</f>
        <v>750 BU Sensorics &amp; Controls</v>
      </c>
      <c r="E101" s="439" t="str">
        <f>'Input-FX Rates'!$C$5</f>
        <v>7521 &amp; 7522</v>
      </c>
      <c r="F101" s="439" t="str">
        <f>'Input-FX Rates'!$B$5</f>
        <v>7521 &amp; 7522 PL Mechatronic Sensors (&amp; Electrification)</v>
      </c>
      <c r="G101" s="439" t="s">
        <v>1422</v>
      </c>
      <c r="H101" s="439" t="s">
        <v>1434</v>
      </c>
      <c r="I101" s="523"/>
      <c r="J101" s="523"/>
      <c r="K101" s="524">
        <f>'3. Scrap (GC)'!C65</f>
        <v>0</v>
      </c>
      <c r="L101" s="524">
        <f>'3. Scrap (GC)'!E65</f>
        <v>0</v>
      </c>
      <c r="M101" s="523"/>
      <c r="N101" s="523"/>
      <c r="O101" s="524">
        <f>'3. Scrap (GC)'!R65</f>
        <v>0</v>
      </c>
      <c r="P101" s="524">
        <f>'3. Scrap (GC)'!S65</f>
        <v>0</v>
      </c>
      <c r="Q101" s="523"/>
      <c r="R101" s="523"/>
      <c r="S101" s="523"/>
      <c r="T101" s="523"/>
      <c r="U101" s="523"/>
      <c r="V101" s="523"/>
      <c r="W101" s="524">
        <f>'3. Scrap (GC)'!F65</f>
        <v>0</v>
      </c>
      <c r="X101" s="524">
        <f>'3. Scrap (GC)'!G65</f>
        <v>0</v>
      </c>
      <c r="Y101" s="524">
        <f>'3. Scrap (GC)'!H65</f>
        <v>0</v>
      </c>
      <c r="Z101" s="524">
        <f>'3. Scrap (GC)'!I65</f>
        <v>0</v>
      </c>
      <c r="AA101" s="524">
        <f>'3. Scrap (GC)'!J65</f>
        <v>0</v>
      </c>
      <c r="AB101" s="524">
        <f>'3. Scrap (GC)'!K65</f>
        <v>0</v>
      </c>
      <c r="AC101" s="524">
        <f>'3. Scrap (GC)'!L65</f>
        <v>0</v>
      </c>
      <c r="AD101" s="524">
        <f>'3. Scrap (GC)'!M65</f>
        <v>0</v>
      </c>
      <c r="AE101" s="524">
        <f>'3. Scrap (GC)'!N65</f>
        <v>0</v>
      </c>
      <c r="AF101" s="524">
        <f>'3. Scrap (GC)'!O65</f>
        <v>0</v>
      </c>
      <c r="AG101" s="524">
        <f>'3. Scrap (GC)'!P65</f>
        <v>0</v>
      </c>
      <c r="AH101" s="524">
        <f>'3. Scrap (GC)'!Q65</f>
        <v>0</v>
      </c>
      <c r="AI101" s="523"/>
      <c r="AJ101" s="523"/>
      <c r="AK101" s="523"/>
      <c r="AL101" s="523"/>
      <c r="AM101" s="523"/>
      <c r="AN101" s="524" t="str">
        <f>'3. Scrap (GC)'!B65</f>
        <v>All Other</v>
      </c>
      <c r="AO101" s="439" t="str">
        <f>'3. Scrap (GC)'!W65</f>
        <v/>
      </c>
      <c r="AP101" s="439">
        <v>65</v>
      </c>
      <c r="AQ101" s="439" t="str">
        <f>Settings!$A$1</f>
        <v>V2</v>
      </c>
    </row>
    <row r="102" spans="1:44" ht="12.75" customHeight="1" x14ac:dyDescent="0.2">
      <c r="A102" s="439">
        <f>'Input-FX Rates'!$C$4</f>
        <v>242</v>
      </c>
      <c r="B102" s="439" t="str">
        <f>'Input-FX Rates'!$B$4</f>
        <v>ICH Icheon (242)</v>
      </c>
      <c r="C102" s="439">
        <f>'Input-FX Rates'!$C$6</f>
        <v>750</v>
      </c>
      <c r="D102" s="439" t="str">
        <f>'Input-FX Rates'!$B$6</f>
        <v>750 BU Sensorics &amp; Controls</v>
      </c>
      <c r="E102" s="439" t="str">
        <f>'Input-FX Rates'!$C$5</f>
        <v>7521 &amp; 7522</v>
      </c>
      <c r="F102" s="439" t="str">
        <f>'Input-FX Rates'!$B$5</f>
        <v>7521 &amp; 7522 PL Mechatronic Sensors (&amp; Electrification)</v>
      </c>
      <c r="G102" s="439" t="s">
        <v>1422</v>
      </c>
      <c r="H102" s="439" t="s">
        <v>1435</v>
      </c>
      <c r="I102" s="523"/>
      <c r="J102" s="523"/>
      <c r="K102" s="524">
        <f>'3. Scrap (GC)'!C66</f>
        <v>-4.1027080661538182</v>
      </c>
      <c r="L102" s="524">
        <f>'3. Scrap (GC)'!E66</f>
        <v>-24.309462695682225</v>
      </c>
      <c r="M102" s="523"/>
      <c r="N102" s="523"/>
      <c r="O102" s="524">
        <f>'3. Scrap (GC)'!R66</f>
        <v>0</v>
      </c>
      <c r="P102" s="524">
        <f>'3. Scrap (GC)'!S66</f>
        <v>0</v>
      </c>
      <c r="Q102" s="523"/>
      <c r="R102" s="523"/>
      <c r="S102" s="523"/>
      <c r="T102" s="523"/>
      <c r="U102" s="523"/>
      <c r="V102" s="523"/>
      <c r="W102" s="524">
        <f>'3. Scrap (GC)'!F66</f>
        <v>0</v>
      </c>
      <c r="X102" s="524">
        <f>'3. Scrap (GC)'!G66</f>
        <v>0</v>
      </c>
      <c r="Y102" s="524">
        <f>'3. Scrap (GC)'!H66</f>
        <v>0</v>
      </c>
      <c r="Z102" s="524">
        <f>'3. Scrap (GC)'!I66</f>
        <v>0</v>
      </c>
      <c r="AA102" s="524">
        <f>'3. Scrap (GC)'!J66</f>
        <v>0</v>
      </c>
      <c r="AB102" s="524">
        <f>'3. Scrap (GC)'!K66</f>
        <v>0</v>
      </c>
      <c r="AC102" s="524">
        <f>'3. Scrap (GC)'!L66</f>
        <v>0</v>
      </c>
      <c r="AD102" s="524">
        <f>'3. Scrap (GC)'!M66</f>
        <v>0</v>
      </c>
      <c r="AE102" s="524">
        <f>'3. Scrap (GC)'!N66</f>
        <v>0</v>
      </c>
      <c r="AF102" s="524">
        <f>'3. Scrap (GC)'!O66</f>
        <v>0</v>
      </c>
      <c r="AG102" s="524">
        <f>'3. Scrap (GC)'!P66</f>
        <v>0</v>
      </c>
      <c r="AH102" s="524">
        <f>'3. Scrap (GC)'!Q66</f>
        <v>0</v>
      </c>
      <c r="AI102" s="523"/>
      <c r="AJ102" s="523"/>
      <c r="AK102" s="523"/>
      <c r="AL102" s="523"/>
      <c r="AM102" s="523"/>
      <c r="AN102" s="524" t="str">
        <f>'3. Scrap (GC)'!B66</f>
        <v>All Other</v>
      </c>
      <c r="AO102" s="439" t="str">
        <f>'3. Scrap (GC)'!W66</f>
        <v/>
      </c>
      <c r="AP102" s="439">
        <v>66</v>
      </c>
      <c r="AQ102" s="439" t="str">
        <f>Settings!$A$1</f>
        <v>V2</v>
      </c>
    </row>
    <row r="103" spans="1:44" ht="12.75" customHeight="1" x14ac:dyDescent="0.2">
      <c r="A103" s="439">
        <f>'Input-FX Rates'!$C$4</f>
        <v>242</v>
      </c>
      <c r="B103" s="439" t="str">
        <f>'Input-FX Rates'!$B$4</f>
        <v>ICH Icheon (242)</v>
      </c>
      <c r="C103" s="439">
        <f>'Input-FX Rates'!$C$6</f>
        <v>750</v>
      </c>
      <c r="D103" s="439" t="str">
        <f>'Input-FX Rates'!$B$6</f>
        <v>750 BU Sensorics &amp; Controls</v>
      </c>
      <c r="E103" s="439" t="str">
        <f>'Input-FX Rates'!$C$5</f>
        <v>7521 &amp; 7522</v>
      </c>
      <c r="F103" s="439" t="str">
        <f>'Input-FX Rates'!$B$5</f>
        <v>7521 &amp; 7522 PL Mechatronic Sensors (&amp; Electrification)</v>
      </c>
      <c r="G103" s="439" t="s">
        <v>1422</v>
      </c>
      <c r="H103" s="439" t="s">
        <v>1436</v>
      </c>
      <c r="I103" s="523"/>
      <c r="J103" s="523"/>
      <c r="K103" s="524">
        <f>'3. Scrap (GC)'!C67</f>
        <v>0</v>
      </c>
      <c r="L103" s="524">
        <f>'3. Scrap (GC)'!E67</f>
        <v>0</v>
      </c>
      <c r="M103" s="523"/>
      <c r="N103" s="523"/>
      <c r="O103" s="524">
        <f>'3. Scrap (GC)'!R67</f>
        <v>0</v>
      </c>
      <c r="P103" s="524">
        <f>'3. Scrap (GC)'!S67</f>
        <v>0</v>
      </c>
      <c r="Q103" s="523"/>
      <c r="R103" s="523"/>
      <c r="S103" s="523"/>
      <c r="T103" s="523"/>
      <c r="U103" s="523"/>
      <c r="V103" s="523"/>
      <c r="W103" s="524">
        <f>'3. Scrap (GC)'!F67</f>
        <v>0</v>
      </c>
      <c r="X103" s="524">
        <f>'3. Scrap (GC)'!G67</f>
        <v>0</v>
      </c>
      <c r="Y103" s="524">
        <f>'3. Scrap (GC)'!H67</f>
        <v>0</v>
      </c>
      <c r="Z103" s="524">
        <f>'3. Scrap (GC)'!I67</f>
        <v>0</v>
      </c>
      <c r="AA103" s="524">
        <f>'3. Scrap (GC)'!J67</f>
        <v>0</v>
      </c>
      <c r="AB103" s="524">
        <f>'3. Scrap (GC)'!K67</f>
        <v>0</v>
      </c>
      <c r="AC103" s="524">
        <f>'3. Scrap (GC)'!L67</f>
        <v>0</v>
      </c>
      <c r="AD103" s="524">
        <f>'3. Scrap (GC)'!M67</f>
        <v>0</v>
      </c>
      <c r="AE103" s="524">
        <f>'3. Scrap (GC)'!N67</f>
        <v>0</v>
      </c>
      <c r="AF103" s="524">
        <f>'3. Scrap (GC)'!O67</f>
        <v>0</v>
      </c>
      <c r="AG103" s="524">
        <f>'3. Scrap (GC)'!P67</f>
        <v>0</v>
      </c>
      <c r="AH103" s="524">
        <f>'3. Scrap (GC)'!Q67</f>
        <v>0</v>
      </c>
      <c r="AI103" s="523"/>
      <c r="AJ103" s="523"/>
      <c r="AK103" s="523"/>
      <c r="AL103" s="523"/>
      <c r="AM103" s="523"/>
      <c r="AN103" s="524" t="str">
        <f>'3. Scrap (GC)'!B67</f>
        <v>All Other</v>
      </c>
      <c r="AO103" s="439" t="str">
        <f>'3. Scrap (GC)'!W67</f>
        <v/>
      </c>
      <c r="AP103" s="439">
        <v>67</v>
      </c>
      <c r="AQ103" s="439" t="str">
        <f>Settings!$A$1</f>
        <v>V2</v>
      </c>
    </row>
    <row r="104" spans="1:44" ht="12.75" customHeight="1" x14ac:dyDescent="0.2">
      <c r="A104" s="439">
        <f>'Input-FX Rates'!$C$4</f>
        <v>242</v>
      </c>
      <c r="B104" s="439" t="str">
        <f>'Input-FX Rates'!$B$4</f>
        <v>ICH Icheon (242)</v>
      </c>
      <c r="C104" s="439">
        <f>'Input-FX Rates'!$C$6</f>
        <v>750</v>
      </c>
      <c r="D104" s="439" t="str">
        <f>'Input-FX Rates'!$B$6</f>
        <v>750 BU Sensorics &amp; Controls</v>
      </c>
      <c r="E104" s="439" t="str">
        <f>'Input-FX Rates'!$C$5</f>
        <v>7521 &amp; 7522</v>
      </c>
      <c r="F104" s="439" t="str">
        <f>'Input-FX Rates'!$B$5</f>
        <v>7521 &amp; 7522 PL Mechatronic Sensors (&amp; Electrification)</v>
      </c>
      <c r="G104" s="439" t="s">
        <v>1422</v>
      </c>
      <c r="H104" s="439" t="s">
        <v>1437</v>
      </c>
      <c r="I104" s="523"/>
      <c r="J104" s="523"/>
      <c r="K104" s="524">
        <f>'3. Scrap (GC)'!C70</f>
        <v>-4.1027080661538182</v>
      </c>
      <c r="L104" s="524">
        <f>'3. Scrap (GC)'!E70</f>
        <v>-24.309462695682225</v>
      </c>
      <c r="M104" s="523"/>
      <c r="N104" s="523"/>
      <c r="O104" s="524">
        <f>'3. Scrap (GC)'!R70</f>
        <v>0</v>
      </c>
      <c r="P104" s="524">
        <f>'3. Scrap (GC)'!S70</f>
        <v>0</v>
      </c>
      <c r="Q104" s="523"/>
      <c r="R104" s="523"/>
      <c r="S104" s="523"/>
      <c r="T104" s="523"/>
      <c r="U104" s="523"/>
      <c r="V104" s="523"/>
      <c r="W104" s="524">
        <f>'3. Scrap (GC)'!F70</f>
        <v>0</v>
      </c>
      <c r="X104" s="524">
        <f>'3. Scrap (GC)'!G70</f>
        <v>0</v>
      </c>
      <c r="Y104" s="524">
        <f>'3. Scrap (GC)'!H70</f>
        <v>0</v>
      </c>
      <c r="Z104" s="524">
        <f>'3. Scrap (GC)'!I70</f>
        <v>0</v>
      </c>
      <c r="AA104" s="524">
        <f>'3. Scrap (GC)'!J70</f>
        <v>0</v>
      </c>
      <c r="AB104" s="524">
        <f>'3. Scrap (GC)'!K70</f>
        <v>0</v>
      </c>
      <c r="AC104" s="524">
        <f>'3. Scrap (GC)'!L70</f>
        <v>0</v>
      </c>
      <c r="AD104" s="524">
        <f>'3. Scrap (GC)'!M70</f>
        <v>0</v>
      </c>
      <c r="AE104" s="524">
        <f>'3. Scrap (GC)'!N70</f>
        <v>0</v>
      </c>
      <c r="AF104" s="524">
        <f>'3. Scrap (GC)'!O70</f>
        <v>0</v>
      </c>
      <c r="AG104" s="524">
        <f>'3. Scrap (GC)'!P70</f>
        <v>0</v>
      </c>
      <c r="AH104" s="524">
        <f>'3. Scrap (GC)'!Q70</f>
        <v>0</v>
      </c>
      <c r="AI104" s="523"/>
      <c r="AJ104" s="523"/>
      <c r="AK104" s="523"/>
      <c r="AL104" s="523"/>
      <c r="AM104" s="523"/>
      <c r="AN104" s="529"/>
      <c r="AO104" s="439" t="str">
        <f>'3. Scrap (GC)'!W70</f>
        <v/>
      </c>
      <c r="AP104" s="439">
        <v>68</v>
      </c>
      <c r="AQ104" s="439" t="str">
        <f>Settings!$A$1</f>
        <v>V2</v>
      </c>
    </row>
    <row r="105" spans="1:44" ht="12.75" customHeight="1" x14ac:dyDescent="0.2">
      <c r="A105" s="439">
        <f>'Input-FX Rates'!$C$4</f>
        <v>242</v>
      </c>
      <c r="B105" s="439" t="str">
        <f>'Input-FX Rates'!$B$4</f>
        <v>ICH Icheon (242)</v>
      </c>
      <c r="C105" s="439">
        <f>'Input-FX Rates'!$C$6</f>
        <v>750</v>
      </c>
      <c r="D105" s="439" t="str">
        <f>'Input-FX Rates'!$B$6</f>
        <v>750 BU Sensorics &amp; Controls</v>
      </c>
      <c r="E105" s="439" t="str">
        <f>'Input-FX Rates'!$C$5</f>
        <v>7521 &amp; 7522</v>
      </c>
      <c r="F105" s="439" t="str">
        <f>'Input-FX Rates'!$B$5</f>
        <v>7521 &amp; 7522 PL Mechatronic Sensors (&amp; Electrification)</v>
      </c>
      <c r="G105" s="439" t="s">
        <v>1422</v>
      </c>
      <c r="H105" s="439" t="s">
        <v>1438</v>
      </c>
      <c r="I105" s="523"/>
      <c r="J105" s="523"/>
      <c r="K105" s="524">
        <f>'3. Scrap (GC)'!C71</f>
        <v>0</v>
      </c>
      <c r="L105" s="524">
        <f>'3. Scrap (GC)'!E71</f>
        <v>0</v>
      </c>
      <c r="M105" s="523"/>
      <c r="N105" s="523"/>
      <c r="O105" s="524">
        <f>'3. Scrap (GC)'!R71</f>
        <v>0</v>
      </c>
      <c r="P105" s="524">
        <f>'3. Scrap (GC)'!S71</f>
        <v>0</v>
      </c>
      <c r="Q105" s="523"/>
      <c r="R105" s="523"/>
      <c r="S105" s="523"/>
      <c r="T105" s="523"/>
      <c r="U105" s="523"/>
      <c r="V105" s="523"/>
      <c r="W105" s="524">
        <f>'3. Scrap (GC)'!F71</f>
        <v>0</v>
      </c>
      <c r="X105" s="524">
        <f>'3. Scrap (GC)'!G71</f>
        <v>0</v>
      </c>
      <c r="Y105" s="524">
        <f>'3. Scrap (GC)'!H71</f>
        <v>0</v>
      </c>
      <c r="Z105" s="524">
        <f>'3. Scrap (GC)'!I71</f>
        <v>0</v>
      </c>
      <c r="AA105" s="524">
        <f>'3. Scrap (GC)'!J71</f>
        <v>0</v>
      </c>
      <c r="AB105" s="524">
        <f>'3. Scrap (GC)'!K71</f>
        <v>0</v>
      </c>
      <c r="AC105" s="524">
        <f>'3. Scrap (GC)'!L71</f>
        <v>0</v>
      </c>
      <c r="AD105" s="524">
        <f>'3. Scrap (GC)'!M71</f>
        <v>0</v>
      </c>
      <c r="AE105" s="524">
        <f>'3. Scrap (GC)'!N71</f>
        <v>0</v>
      </c>
      <c r="AF105" s="524">
        <f>'3. Scrap (GC)'!O71</f>
        <v>0</v>
      </c>
      <c r="AG105" s="524">
        <f>'3. Scrap (GC)'!P71</f>
        <v>0</v>
      </c>
      <c r="AH105" s="524">
        <f>'3. Scrap (GC)'!Q71</f>
        <v>0</v>
      </c>
      <c r="AI105" s="523"/>
      <c r="AJ105" s="523"/>
      <c r="AK105" s="523"/>
      <c r="AL105" s="523"/>
      <c r="AM105" s="523"/>
      <c r="AN105" s="529"/>
      <c r="AO105" s="439" t="str">
        <f>'3. Scrap (GC)'!W71</f>
        <v/>
      </c>
      <c r="AP105" s="439">
        <v>69</v>
      </c>
      <c r="AQ105" s="439" t="str">
        <f>Settings!$A$1</f>
        <v>V2</v>
      </c>
    </row>
    <row r="106" spans="1:44" ht="12.75" customHeight="1" x14ac:dyDescent="0.2">
      <c r="A106" s="439">
        <f>'Input-FX Rates'!$C$4</f>
        <v>242</v>
      </c>
      <c r="B106" s="439" t="str">
        <f>'Input-FX Rates'!$B$4</f>
        <v>ICH Icheon (242)</v>
      </c>
      <c r="C106" s="439">
        <f>'Input-FX Rates'!$C$6</f>
        <v>750</v>
      </c>
      <c r="D106" s="439" t="str">
        <f>'Input-FX Rates'!$B$6</f>
        <v>750 BU Sensorics &amp; Controls</v>
      </c>
      <c r="E106" s="439" t="str">
        <f>'Input-FX Rates'!$C$5</f>
        <v>7521 &amp; 7522</v>
      </c>
      <c r="F106" s="439" t="str">
        <f>'Input-FX Rates'!$B$5</f>
        <v>7521 &amp; 7522 PL Mechatronic Sensors (&amp; Electrification)</v>
      </c>
      <c r="G106" s="439" t="s">
        <v>1422</v>
      </c>
      <c r="H106" s="439" t="s">
        <v>383</v>
      </c>
      <c r="I106" s="523"/>
      <c r="J106" s="523"/>
      <c r="K106" s="524">
        <f>'3. Scrap (GC)'!C75</f>
        <v>-24.391813677951223</v>
      </c>
      <c r="L106" s="524">
        <f>'3. Scrap (GC)'!E75</f>
        <v>-133.48466196864482</v>
      </c>
      <c r="M106" s="523"/>
      <c r="N106" s="523"/>
      <c r="O106" s="524">
        <f>'3. Scrap (GC)'!R75</f>
        <v>-55.939368965517225</v>
      </c>
      <c r="P106" s="524">
        <f>'3. Scrap (GC)'!S75</f>
        <v>0</v>
      </c>
      <c r="Q106" s="523"/>
      <c r="R106" s="523"/>
      <c r="S106" s="523"/>
      <c r="T106" s="523"/>
      <c r="U106" s="523"/>
      <c r="V106" s="523"/>
      <c r="W106" s="524">
        <f>'3. Scrap (GC)'!F75</f>
        <v>-4.7349993103448274</v>
      </c>
      <c r="X106" s="524">
        <f>'3. Scrap (GC)'!G75</f>
        <v>-4.7350358620689654</v>
      </c>
      <c r="Y106" s="524">
        <f>'3. Scrap (GC)'!H75</f>
        <v>-4.6079586206896552</v>
      </c>
      <c r="Z106" s="524">
        <f>'3. Scrap (GC)'!I75</f>
        <v>-4.7350358620689654</v>
      </c>
      <c r="AA106" s="524">
        <f>'3. Scrap (GC)'!J75</f>
        <v>-4.8622324137931034</v>
      </c>
      <c r="AB106" s="524">
        <f>'3. Scrap (GC)'!K75</f>
        <v>-4.5171579310344825</v>
      </c>
      <c r="AC106" s="524">
        <f>'3. Scrap (GC)'!L75</f>
        <v>-4.9043758620689655</v>
      </c>
      <c r="AD106" s="524">
        <f>'3. Scrap (GC)'!M75</f>
        <v>-4.7750475862068971</v>
      </c>
      <c r="AE106" s="524">
        <f>'3. Scrap (GC)'!N75</f>
        <v>-4.2587772413793106</v>
      </c>
      <c r="AF106" s="524">
        <f>'3. Scrap (GC)'!O75</f>
        <v>-4.904124827586207</v>
      </c>
      <c r="AG106" s="524">
        <f>'3. Scrap (GC)'!P75</f>
        <v>-4.7749627586206893</v>
      </c>
      <c r="AH106" s="524">
        <f>'3. Scrap (GC)'!Q75</f>
        <v>-4.1296606896551724</v>
      </c>
      <c r="AI106" s="523"/>
      <c r="AJ106" s="523"/>
      <c r="AK106" s="523"/>
      <c r="AL106" s="523"/>
      <c r="AM106" s="523"/>
      <c r="AN106" s="529"/>
      <c r="AO106" s="439" t="str">
        <f>'3. Scrap (GC)'!W75</f>
        <v/>
      </c>
      <c r="AP106" s="439">
        <v>70</v>
      </c>
      <c r="AQ106" s="439" t="str">
        <f>Settings!$A$1</f>
        <v>V2</v>
      </c>
    </row>
    <row r="107" spans="1:44" s="525" customFormat="1" ht="12.75" customHeight="1" x14ac:dyDescent="0.2">
      <c r="A107" s="525">
        <f>'Input-FX Rates'!$C$4</f>
        <v>242</v>
      </c>
      <c r="B107" s="525" t="str">
        <f>'Input-FX Rates'!$B$4</f>
        <v>ICH Icheon (242)</v>
      </c>
      <c r="C107" s="525">
        <f>'Input-FX Rates'!$C$6</f>
        <v>750</v>
      </c>
      <c r="D107" s="525" t="str">
        <f>'Input-FX Rates'!$B$6</f>
        <v>750 BU Sensorics &amp; Controls</v>
      </c>
      <c r="E107" s="525" t="str">
        <f>'Input-FX Rates'!$C$5</f>
        <v>7521 &amp; 7522</v>
      </c>
      <c r="F107" s="525" t="str">
        <f>'Input-FX Rates'!$B$5</f>
        <v>7521 &amp; 7522 PL Mechatronic Sensors (&amp; Electrification)</v>
      </c>
      <c r="G107" s="525" t="s">
        <v>1422</v>
      </c>
      <c r="H107" s="525" t="s">
        <v>384</v>
      </c>
      <c r="I107" s="526"/>
      <c r="J107" s="526"/>
      <c r="K107" s="527">
        <f>'3. Scrap (GC)'!C76</f>
        <v>7249.997525078973</v>
      </c>
      <c r="L107" s="527">
        <f>'3. Scrap (GC)'!E76</f>
        <v>15111.540802308424</v>
      </c>
      <c r="M107" s="526"/>
      <c r="N107" s="526"/>
      <c r="O107" s="527">
        <f>'3. Scrap (GC)'!R76</f>
        <v>14187.261937931033</v>
      </c>
      <c r="P107" s="527">
        <f>'3. Scrap (GC)'!S76</f>
        <v>0</v>
      </c>
      <c r="Q107" s="526"/>
      <c r="R107" s="526"/>
      <c r="S107" s="526"/>
      <c r="T107" s="526"/>
      <c r="U107" s="526"/>
      <c r="V107" s="526"/>
      <c r="W107" s="527">
        <f>'3. Scrap (GC)'!F76</f>
        <v>1199.7445020689654</v>
      </c>
      <c r="X107" s="527">
        <f>'3. Scrap (GC)'!G76</f>
        <v>1199.7532220689654</v>
      </c>
      <c r="Y107" s="527">
        <f>'3. Scrap (GC)'!H76</f>
        <v>1169.4966724137932</v>
      </c>
      <c r="Z107" s="527">
        <f>'3. Scrap (GC)'!I76</f>
        <v>1199.7532220689654</v>
      </c>
      <c r="AA107" s="527">
        <f>'3. Scrap (GC)'!J76</f>
        <v>1230.0380220689656</v>
      </c>
      <c r="AB107" s="527">
        <f>'3. Scrap (GC)'!K76</f>
        <v>1147.8775020689654</v>
      </c>
      <c r="AC107" s="527">
        <f>'3. Scrap (GC)'!L76</f>
        <v>1240.072312413793</v>
      </c>
      <c r="AD107" s="527">
        <f>'3. Scrap (GC)'!M76</f>
        <v>1209.2798220689656</v>
      </c>
      <c r="AE107" s="527">
        <f>'3. Scrap (GC)'!N76</f>
        <v>1086.3583020689655</v>
      </c>
      <c r="AF107" s="527">
        <f>'3. Scrap (GC)'!O76</f>
        <v>1240.012432413793</v>
      </c>
      <c r="AG107" s="527">
        <f>'3. Scrap (GC)'!P76</f>
        <v>1209.2595420689654</v>
      </c>
      <c r="AH107" s="527">
        <f>'3. Scrap (GC)'!Q76</f>
        <v>1055.6163841379309</v>
      </c>
      <c r="AI107" s="526"/>
      <c r="AJ107" s="526"/>
      <c r="AK107" s="526"/>
      <c r="AL107" s="526"/>
      <c r="AM107" s="526"/>
      <c r="AN107" s="528"/>
      <c r="AO107" s="525" t="str">
        <f>'3. Scrap (GC)'!W76</f>
        <v/>
      </c>
      <c r="AP107" s="525">
        <v>71</v>
      </c>
      <c r="AQ107" s="525" t="str">
        <f>Settings!$A$1</f>
        <v>V2</v>
      </c>
      <c r="AR107" s="439"/>
    </row>
    <row r="108" spans="1:44" ht="12.75" customHeight="1" x14ac:dyDescent="0.25">
      <c r="A108" s="439">
        <f>'Input-FX Rates'!$C$4</f>
        <v>242</v>
      </c>
      <c r="B108" s="439" t="str">
        <f>'Input-FX Rates'!$B$4</f>
        <v>ICH Icheon (242)</v>
      </c>
      <c r="C108" s="439">
        <f>'Input-FX Rates'!$C$6</f>
        <v>750</v>
      </c>
      <c r="D108" s="439" t="str">
        <f>'Input-FX Rates'!$B$6</f>
        <v>750 BU Sensorics &amp; Controls</v>
      </c>
      <c r="E108" s="439" t="str">
        <f>'Input-FX Rates'!$C$5</f>
        <v>7521 &amp; 7522</v>
      </c>
      <c r="F108" s="439" t="str">
        <f>'Input-FX Rates'!$B$5</f>
        <v>7521 &amp; 7522 PL Mechatronic Sensors (&amp; Electrification)</v>
      </c>
      <c r="G108" s="439" t="s">
        <v>1439</v>
      </c>
      <c r="H108" s="439" t="s">
        <v>195</v>
      </c>
      <c r="I108" s="523"/>
      <c r="J108" s="523"/>
      <c r="K108" s="524">
        <f>'4. Fix Cost (GC)'!B7</f>
        <v>7249.997525078973</v>
      </c>
      <c r="L108" s="524">
        <f>'4. Fix Cost (GC)'!C7</f>
        <v>15111.540802308424</v>
      </c>
      <c r="M108" s="523"/>
      <c r="N108" s="523"/>
      <c r="O108" s="524">
        <f>'4. Fix Cost (GC)'!Q7</f>
        <v>14187.261937931033</v>
      </c>
      <c r="P108" s="524">
        <f>'4. Fix Cost (GC)'!R7</f>
        <v>0</v>
      </c>
      <c r="Q108" s="523"/>
      <c r="R108" s="523"/>
      <c r="S108" s="523"/>
      <c r="T108" s="523"/>
      <c r="U108" s="523"/>
      <c r="V108" s="523"/>
      <c r="W108" s="524">
        <f>'4. Fix Cost (GC)'!E7</f>
        <v>1199.7445020689654</v>
      </c>
      <c r="X108" s="524">
        <f>'4. Fix Cost (GC)'!F7</f>
        <v>1199.7532220689654</v>
      </c>
      <c r="Y108" s="524">
        <f>'4. Fix Cost (GC)'!G7</f>
        <v>1169.4966724137932</v>
      </c>
      <c r="Z108" s="524">
        <f>'4. Fix Cost (GC)'!H7</f>
        <v>1199.7532220689654</v>
      </c>
      <c r="AA108" s="524">
        <f>'4. Fix Cost (GC)'!I7</f>
        <v>1230.0380220689656</v>
      </c>
      <c r="AB108" s="524">
        <f>'4. Fix Cost (GC)'!J7</f>
        <v>1147.8775020689654</v>
      </c>
      <c r="AC108" s="524">
        <f>'4. Fix Cost (GC)'!K7</f>
        <v>1240.072312413793</v>
      </c>
      <c r="AD108" s="524">
        <f>'4. Fix Cost (GC)'!L7</f>
        <v>1209.2798220689656</v>
      </c>
      <c r="AE108" s="524">
        <f>'4. Fix Cost (GC)'!M7</f>
        <v>1086.3583020689655</v>
      </c>
      <c r="AF108" s="524">
        <f>'4. Fix Cost (GC)'!N7</f>
        <v>1240.012432413793</v>
      </c>
      <c r="AG108" s="524">
        <f>'4. Fix Cost (GC)'!O7</f>
        <v>1209.2595420689654</v>
      </c>
      <c r="AH108" s="524">
        <f>'4. Fix Cost (GC)'!P7</f>
        <v>1055.6163841379309</v>
      </c>
      <c r="AI108" s="523"/>
      <c r="AJ108" s="523"/>
      <c r="AK108" s="523"/>
      <c r="AL108" s="523"/>
      <c r="AM108" s="523"/>
      <c r="AN108" s="523"/>
      <c r="AO108" s="439" t="str">
        <f>'4. Fix Cost (GC)'!W7</f>
        <v/>
      </c>
      <c r="AP108" s="439">
        <v>72</v>
      </c>
      <c r="AQ108" s="439" t="str">
        <f>Settings!$A$1</f>
        <v>V2</v>
      </c>
      <c r="AR108" s="849"/>
    </row>
    <row r="109" spans="1:44" ht="12.75" customHeight="1" x14ac:dyDescent="0.25">
      <c r="A109" s="439">
        <f>'Input-FX Rates'!$C$4</f>
        <v>242</v>
      </c>
      <c r="B109" s="439" t="str">
        <f>'Input-FX Rates'!$B$4</f>
        <v>ICH Icheon (242)</v>
      </c>
      <c r="C109" s="439">
        <f>'Input-FX Rates'!$C$6</f>
        <v>750</v>
      </c>
      <c r="D109" s="439" t="str">
        <f>'Input-FX Rates'!$B$6</f>
        <v>750 BU Sensorics &amp; Controls</v>
      </c>
      <c r="E109" s="439" t="str">
        <f>'Input-FX Rates'!$C$5</f>
        <v>7521 &amp; 7522</v>
      </c>
      <c r="F109" s="439" t="str">
        <f>'Input-FX Rates'!$B$5</f>
        <v>7521 &amp; 7522 PL Mechatronic Sensors (&amp; Electrification)</v>
      </c>
      <c r="G109" s="439" t="s">
        <v>1439</v>
      </c>
      <c r="H109" s="439" t="s">
        <v>426</v>
      </c>
      <c r="I109" s="523"/>
      <c r="J109" s="523"/>
      <c r="K109" s="524">
        <f>'4. Fix Cost (GC)'!B8</f>
        <v>-218.41400564590381</v>
      </c>
      <c r="L109" s="524">
        <f>'4. Fix Cost (GC)'!C8</f>
        <v>-438.48496282066083</v>
      </c>
      <c r="M109" s="523"/>
      <c r="N109" s="523"/>
      <c r="O109" s="524">
        <f>'4. Fix Cost (GC)'!Q8</f>
        <v>-475.34623448275863</v>
      </c>
      <c r="P109" s="524">
        <f>'4. Fix Cost (GC)'!R8</f>
        <v>-630</v>
      </c>
      <c r="Q109" s="523"/>
      <c r="R109" s="523"/>
      <c r="S109" s="523"/>
      <c r="T109" s="523"/>
      <c r="U109" s="523"/>
      <c r="V109" s="523"/>
      <c r="W109" s="524">
        <f>'4. Fix Cost (GC)'!E8</f>
        <v>-37.4451675862069</v>
      </c>
      <c r="X109" s="524">
        <f>'4. Fix Cost (GC)'!F8</f>
        <v>-37.389682068965513</v>
      </c>
      <c r="Y109" s="524">
        <f>'4. Fix Cost (GC)'!G8</f>
        <v>-37.491252413793106</v>
      </c>
      <c r="Z109" s="524">
        <f>'4. Fix Cost (GC)'!H8</f>
        <v>-34.597544137931031</v>
      </c>
      <c r="AA109" s="524">
        <f>'4. Fix Cost (GC)'!I8</f>
        <v>-36.62437172413793</v>
      </c>
      <c r="AB109" s="524">
        <f>'4. Fix Cost (GC)'!J8</f>
        <v>-37.327066896551727</v>
      </c>
      <c r="AC109" s="524">
        <f>'4. Fix Cost (GC)'!K8</f>
        <v>-47.372034482758622</v>
      </c>
      <c r="AD109" s="524">
        <f>'4. Fix Cost (GC)'!L8</f>
        <v>-45.508439310344826</v>
      </c>
      <c r="AE109" s="524">
        <f>'4. Fix Cost (GC)'!M8</f>
        <v>-40.267257931034479</v>
      </c>
      <c r="AF109" s="524">
        <f>'4. Fix Cost (GC)'!N8</f>
        <v>-40.260060689655177</v>
      </c>
      <c r="AG109" s="524">
        <f>'4. Fix Cost (GC)'!O8</f>
        <v>-39.546572413793101</v>
      </c>
      <c r="AH109" s="524">
        <f>'4. Fix Cost (GC)'!P8</f>
        <v>-41.516784827586207</v>
      </c>
      <c r="AI109" s="523"/>
      <c r="AJ109" s="523"/>
      <c r="AK109" s="523"/>
      <c r="AL109" s="523"/>
      <c r="AM109" s="523"/>
      <c r="AN109" s="523"/>
      <c r="AO109" s="439" t="str">
        <f>'4. Fix Cost (GC)'!W8</f>
        <v>IT cost allocation increase(due to allocation key increase), CM sales shrinking makes higher allocation portion, Overall FM(infra) cost increase due to plant extension and autostore + Occupied space increase for MES(180 → 250sqm)</v>
      </c>
      <c r="AP109" s="439">
        <v>73</v>
      </c>
      <c r="AQ109" s="439" t="str">
        <f>Settings!$A$1</f>
        <v>V2</v>
      </c>
      <c r="AR109" s="849"/>
    </row>
    <row r="110" spans="1:44" ht="12.75" customHeight="1" x14ac:dyDescent="0.25">
      <c r="A110" s="439">
        <f>'Input-FX Rates'!$C$4</f>
        <v>242</v>
      </c>
      <c r="B110" s="439" t="str">
        <f>'Input-FX Rates'!$B$4</f>
        <v>ICH Icheon (242)</v>
      </c>
      <c r="C110" s="439">
        <f>'Input-FX Rates'!$C$6</f>
        <v>750</v>
      </c>
      <c r="D110" s="439" t="str">
        <f>'Input-FX Rates'!$B$6</f>
        <v>750 BU Sensorics &amp; Controls</v>
      </c>
      <c r="E110" s="439" t="str">
        <f>'Input-FX Rates'!$C$5</f>
        <v>7521 &amp; 7522</v>
      </c>
      <c r="F110" s="439" t="str">
        <f>'Input-FX Rates'!$B$5</f>
        <v>7521 &amp; 7522 PL Mechatronic Sensors (&amp; Electrification)</v>
      </c>
      <c r="G110" s="439" t="s">
        <v>1439</v>
      </c>
      <c r="H110" s="439" t="s">
        <v>429</v>
      </c>
      <c r="I110" s="523"/>
      <c r="J110" s="523"/>
      <c r="K110" s="524">
        <f>'4. Fix Cost (GC)'!B9</f>
        <v>-7.5040312230382984</v>
      </c>
      <c r="L110" s="524">
        <f>'4. Fix Cost (GC)'!C9</f>
        <v>-19.17445594122319</v>
      </c>
      <c r="M110" s="523"/>
      <c r="N110" s="523"/>
      <c r="O110" s="524">
        <f>'4. Fix Cost (GC)'!Q9</f>
        <v>-21.465944827586206</v>
      </c>
      <c r="P110" s="524">
        <f>'4. Fix Cost (GC)'!R9</f>
        <v>0</v>
      </c>
      <c r="Q110" s="523"/>
      <c r="R110" s="523"/>
      <c r="S110" s="523"/>
      <c r="T110" s="523"/>
      <c r="U110" s="523"/>
      <c r="V110" s="523"/>
      <c r="W110" s="524">
        <f>'4. Fix Cost (GC)'!E9</f>
        <v>-1.7001524137931034</v>
      </c>
      <c r="X110" s="524">
        <f>'4. Fix Cost (GC)'!F9</f>
        <v>-1.8031144827586207</v>
      </c>
      <c r="Y110" s="524">
        <f>'4. Fix Cost (GC)'!G9</f>
        <v>-1.7267227586206897</v>
      </c>
      <c r="Z110" s="524">
        <f>'4. Fix Cost (GC)'!H9</f>
        <v>-1.5791441379310345</v>
      </c>
      <c r="AA110" s="524">
        <f>'4. Fix Cost (GC)'!I9</f>
        <v>-1.6079158620689655</v>
      </c>
      <c r="AB110" s="524">
        <f>'4. Fix Cost (GC)'!J9</f>
        <v>-1.7661303448275862</v>
      </c>
      <c r="AC110" s="524">
        <f>'4. Fix Cost (GC)'!K9</f>
        <v>-2.1367613793103448</v>
      </c>
      <c r="AD110" s="524">
        <f>'4. Fix Cost (GC)'!L9</f>
        <v>-1.8000186206896551</v>
      </c>
      <c r="AE110" s="524">
        <f>'4. Fix Cost (GC)'!M9</f>
        <v>-1.9402758620689655</v>
      </c>
      <c r="AF110" s="524">
        <f>'4. Fix Cost (GC)'!N9</f>
        <v>-1.7709696551724137</v>
      </c>
      <c r="AG110" s="524">
        <f>'4. Fix Cost (GC)'!O9</f>
        <v>-1.798631724137931</v>
      </c>
      <c r="AH110" s="524">
        <f>'4. Fix Cost (GC)'!P9</f>
        <v>-1.8361075862068967</v>
      </c>
      <c r="AI110" s="523"/>
      <c r="AJ110" s="523"/>
      <c r="AK110" s="523"/>
      <c r="AL110" s="523"/>
      <c r="AM110" s="523"/>
      <c r="AN110" s="523"/>
      <c r="AO110" s="439" t="str">
        <f>'4. Fix Cost (GC)'!W9</f>
        <v/>
      </c>
      <c r="AP110" s="439">
        <v>74</v>
      </c>
      <c r="AQ110" s="439" t="str">
        <f>Settings!$A$1</f>
        <v>V2</v>
      </c>
      <c r="AR110" s="849"/>
    </row>
    <row r="111" spans="1:44" ht="12.75" customHeight="1" x14ac:dyDescent="0.25">
      <c r="A111" s="439">
        <f>'Input-FX Rates'!$C$4</f>
        <v>242</v>
      </c>
      <c r="B111" s="439" t="str">
        <f>'Input-FX Rates'!$B$4</f>
        <v>ICH Icheon (242)</v>
      </c>
      <c r="C111" s="439">
        <f>'Input-FX Rates'!$C$6</f>
        <v>750</v>
      </c>
      <c r="D111" s="439" t="str">
        <f>'Input-FX Rates'!$B$6</f>
        <v>750 BU Sensorics &amp; Controls</v>
      </c>
      <c r="E111" s="439" t="str">
        <f>'Input-FX Rates'!$C$5</f>
        <v>7521 &amp; 7522</v>
      </c>
      <c r="F111" s="439" t="str">
        <f>'Input-FX Rates'!$B$5</f>
        <v>7521 &amp; 7522 PL Mechatronic Sensors (&amp; Electrification)</v>
      </c>
      <c r="G111" s="439" t="s">
        <v>1439</v>
      </c>
      <c r="H111" s="439" t="s">
        <v>431</v>
      </c>
      <c r="I111" s="523"/>
      <c r="J111" s="523"/>
      <c r="K111" s="524">
        <f>'4. Fix Cost (GC)'!B10</f>
        <v>-82.432722873277228</v>
      </c>
      <c r="L111" s="524">
        <f>'4. Fix Cost (GC)'!C10</f>
        <v>-134.77605588976988</v>
      </c>
      <c r="M111" s="523"/>
      <c r="N111" s="523"/>
      <c r="O111" s="524">
        <f>'4. Fix Cost (GC)'!Q10</f>
        <v>-149.41167448275863</v>
      </c>
      <c r="P111" s="524">
        <f>'4. Fix Cost (GC)'!R10</f>
        <v>0</v>
      </c>
      <c r="Q111" s="523"/>
      <c r="R111" s="523"/>
      <c r="S111" s="523"/>
      <c r="T111" s="523"/>
      <c r="U111" s="523"/>
      <c r="V111" s="523"/>
      <c r="W111" s="524">
        <f>'4. Fix Cost (GC)'!E10</f>
        <v>-17.477541379310345</v>
      </c>
      <c r="X111" s="524">
        <f>'4. Fix Cost (GC)'!F10</f>
        <v>-18.099045517241379</v>
      </c>
      <c r="Y111" s="524">
        <f>'4. Fix Cost (GC)'!G10</f>
        <v>-14.007515862068967</v>
      </c>
      <c r="Z111" s="524">
        <f>'4. Fix Cost (GC)'!H10</f>
        <v>-9.8779220689655158</v>
      </c>
      <c r="AA111" s="524">
        <f>'4. Fix Cost (GC)'!I10</f>
        <v>-11.582905517241379</v>
      </c>
      <c r="AB111" s="524">
        <f>'4. Fix Cost (GC)'!J10</f>
        <v>-9.8570068965517237</v>
      </c>
      <c r="AC111" s="524">
        <f>'4. Fix Cost (GC)'!K10</f>
        <v>-12.394375862068966</v>
      </c>
      <c r="AD111" s="524">
        <f>'4. Fix Cost (GC)'!L10</f>
        <v>-9.6763062068965517</v>
      </c>
      <c r="AE111" s="524">
        <f>'4. Fix Cost (GC)'!M10</f>
        <v>-14.932479310344828</v>
      </c>
      <c r="AF111" s="524">
        <f>'4. Fix Cost (GC)'!N10</f>
        <v>-9.9643068965517241</v>
      </c>
      <c r="AG111" s="524">
        <f>'4. Fix Cost (GC)'!O10</f>
        <v>-11.516934482758622</v>
      </c>
      <c r="AH111" s="524">
        <f>'4. Fix Cost (GC)'!P10</f>
        <v>-10.025334482758621</v>
      </c>
      <c r="AI111" s="523"/>
      <c r="AJ111" s="523"/>
      <c r="AK111" s="523"/>
      <c r="AL111" s="523"/>
      <c r="AM111" s="523"/>
      <c r="AN111" s="523"/>
      <c r="AO111" s="439" t="str">
        <f>'4. Fix Cost (GC)'!W10</f>
        <v>other compensations(Employee benefit coupon) increased due to the Variable HC 4 increase</v>
      </c>
      <c r="AP111" s="439">
        <v>75</v>
      </c>
      <c r="AQ111" s="439" t="str">
        <f>Settings!$A$1</f>
        <v>V2</v>
      </c>
      <c r="AR111" s="849"/>
    </row>
    <row r="112" spans="1:44" ht="12.75" customHeight="1" x14ac:dyDescent="0.25">
      <c r="A112" s="439">
        <f>'Input-FX Rates'!$C$4</f>
        <v>242</v>
      </c>
      <c r="B112" s="439" t="str">
        <f>'Input-FX Rates'!$B$4</f>
        <v>ICH Icheon (242)</v>
      </c>
      <c r="C112" s="439">
        <f>'Input-FX Rates'!$C$6</f>
        <v>750</v>
      </c>
      <c r="D112" s="439" t="str">
        <f>'Input-FX Rates'!$B$6</f>
        <v>750 BU Sensorics &amp; Controls</v>
      </c>
      <c r="E112" s="439" t="str">
        <f>'Input-FX Rates'!$C$5</f>
        <v>7521 &amp; 7522</v>
      </c>
      <c r="F112" s="439" t="str">
        <f>'Input-FX Rates'!$B$5</f>
        <v>7521 &amp; 7522 PL Mechatronic Sensors (&amp; Electrification)</v>
      </c>
      <c r="G112" s="439" t="s">
        <v>1439</v>
      </c>
      <c r="H112" s="439" t="s">
        <v>434</v>
      </c>
      <c r="I112" s="523"/>
      <c r="J112" s="523"/>
      <c r="K112" s="524">
        <f>'4. Fix Cost (GC)'!B11</f>
        <v>-1.1421614197032182</v>
      </c>
      <c r="L112" s="524">
        <f>'4. Fix Cost (GC)'!C11</f>
        <v>-1.1398608232784431</v>
      </c>
      <c r="M112" s="523"/>
      <c r="N112" s="523"/>
      <c r="O112" s="524">
        <f>'4. Fix Cost (GC)'!Q11</f>
        <v>0</v>
      </c>
      <c r="P112" s="524">
        <f>'4. Fix Cost (GC)'!R11</f>
        <v>0</v>
      </c>
      <c r="Q112" s="523"/>
      <c r="R112" s="523"/>
      <c r="S112" s="523"/>
      <c r="T112" s="523"/>
      <c r="U112" s="523"/>
      <c r="V112" s="523"/>
      <c r="W112" s="524">
        <f>'4. Fix Cost (GC)'!E11</f>
        <v>0</v>
      </c>
      <c r="X112" s="524">
        <f>'4. Fix Cost (GC)'!F11</f>
        <v>0</v>
      </c>
      <c r="Y112" s="524">
        <f>'4. Fix Cost (GC)'!G11</f>
        <v>0</v>
      </c>
      <c r="Z112" s="524">
        <f>'4. Fix Cost (GC)'!H11</f>
        <v>0</v>
      </c>
      <c r="AA112" s="524">
        <f>'4. Fix Cost (GC)'!I11</f>
        <v>0</v>
      </c>
      <c r="AB112" s="524">
        <f>'4. Fix Cost (GC)'!J11</f>
        <v>0</v>
      </c>
      <c r="AC112" s="524">
        <f>'4. Fix Cost (GC)'!K11</f>
        <v>0</v>
      </c>
      <c r="AD112" s="524">
        <f>'4. Fix Cost (GC)'!L11</f>
        <v>0</v>
      </c>
      <c r="AE112" s="524">
        <f>'4. Fix Cost (GC)'!M11</f>
        <v>0</v>
      </c>
      <c r="AF112" s="524">
        <f>'4. Fix Cost (GC)'!N11</f>
        <v>0</v>
      </c>
      <c r="AG112" s="524">
        <f>'4. Fix Cost (GC)'!O11</f>
        <v>0</v>
      </c>
      <c r="AH112" s="524">
        <f>'4. Fix Cost (GC)'!P11</f>
        <v>0</v>
      </c>
      <c r="AI112" s="523"/>
      <c r="AJ112" s="523"/>
      <c r="AK112" s="523"/>
      <c r="AL112" s="523"/>
      <c r="AM112" s="523"/>
      <c r="AN112" s="523"/>
      <c r="AO112" s="439" t="str">
        <f>'4. Fix Cost (GC)'!W11</f>
        <v/>
      </c>
      <c r="AP112" s="439">
        <v>76</v>
      </c>
      <c r="AQ112" s="439" t="str">
        <f>Settings!$A$1</f>
        <v>V2</v>
      </c>
      <c r="AR112" s="849"/>
    </row>
    <row r="113" spans="1:44" ht="12.75" customHeight="1" x14ac:dyDescent="0.25">
      <c r="A113" s="439">
        <f>'Input-FX Rates'!$C$4</f>
        <v>242</v>
      </c>
      <c r="B113" s="439" t="str">
        <f>'Input-FX Rates'!$B$4</f>
        <v>ICH Icheon (242)</v>
      </c>
      <c r="C113" s="439">
        <f>'Input-FX Rates'!$C$6</f>
        <v>750</v>
      </c>
      <c r="D113" s="439" t="str">
        <f>'Input-FX Rates'!$B$6</f>
        <v>750 BU Sensorics &amp; Controls</v>
      </c>
      <c r="E113" s="439" t="str">
        <f>'Input-FX Rates'!$C$5</f>
        <v>7521 &amp; 7522</v>
      </c>
      <c r="F113" s="439" t="str">
        <f>'Input-FX Rates'!$B$5</f>
        <v>7521 &amp; 7522 PL Mechatronic Sensors (&amp; Electrification)</v>
      </c>
      <c r="G113" s="439" t="s">
        <v>1439</v>
      </c>
      <c r="H113" s="439" t="s">
        <v>436</v>
      </c>
      <c r="I113" s="523"/>
      <c r="J113" s="523"/>
      <c r="K113" s="524">
        <f>'4. Fix Cost (GC)'!B12</f>
        <v>-4.329733349995565</v>
      </c>
      <c r="L113" s="524">
        <f>'4. Fix Cost (GC)'!C12</f>
        <v>0</v>
      </c>
      <c r="M113" s="523"/>
      <c r="N113" s="523"/>
      <c r="O113" s="524">
        <f>'4. Fix Cost (GC)'!Q12</f>
        <v>-18.517075862068964</v>
      </c>
      <c r="P113" s="524">
        <f>'4. Fix Cost (GC)'!R12</f>
        <v>0</v>
      </c>
      <c r="Q113" s="523"/>
      <c r="R113" s="523"/>
      <c r="S113" s="523"/>
      <c r="T113" s="523"/>
      <c r="U113" s="523"/>
      <c r="V113" s="523"/>
      <c r="W113" s="524">
        <f>'4. Fix Cost (GC)'!E12</f>
        <v>-1.5430896551724138</v>
      </c>
      <c r="X113" s="524">
        <f>'4. Fix Cost (GC)'!F12</f>
        <v>-1.5430896551724138</v>
      </c>
      <c r="Y113" s="524">
        <f>'4. Fix Cost (GC)'!G12</f>
        <v>-1.5430896551724138</v>
      </c>
      <c r="Z113" s="524">
        <f>'4. Fix Cost (GC)'!H12</f>
        <v>-1.5430896551724138</v>
      </c>
      <c r="AA113" s="524">
        <f>'4. Fix Cost (GC)'!I12</f>
        <v>-1.5430896551724138</v>
      </c>
      <c r="AB113" s="524">
        <f>'4. Fix Cost (GC)'!J12</f>
        <v>-1.5430896551724138</v>
      </c>
      <c r="AC113" s="524">
        <f>'4. Fix Cost (GC)'!K12</f>
        <v>-1.5430896551724138</v>
      </c>
      <c r="AD113" s="524">
        <f>'4. Fix Cost (GC)'!L12</f>
        <v>-1.5430896551724138</v>
      </c>
      <c r="AE113" s="524">
        <f>'4. Fix Cost (GC)'!M12</f>
        <v>-1.5430896551724138</v>
      </c>
      <c r="AF113" s="524">
        <f>'4. Fix Cost (GC)'!N12</f>
        <v>-1.5430896551724138</v>
      </c>
      <c r="AG113" s="524">
        <f>'4. Fix Cost (GC)'!O12</f>
        <v>-1.5430896551724138</v>
      </c>
      <c r="AH113" s="524">
        <f>'4. Fix Cost (GC)'!P12</f>
        <v>-1.5430896551724138</v>
      </c>
      <c r="AI113" s="523"/>
      <c r="AJ113" s="523"/>
      <c r="AK113" s="523"/>
      <c r="AL113" s="523"/>
      <c r="AM113" s="523"/>
      <c r="AN113" s="523"/>
      <c r="AO113" s="439" t="str">
        <f>'4. Fix Cost (GC)'!W12</f>
        <v>Knock sensors RV test for HKMC</v>
      </c>
      <c r="AP113" s="439">
        <v>77</v>
      </c>
      <c r="AQ113" s="439" t="str">
        <f>Settings!$A$1</f>
        <v>V2</v>
      </c>
      <c r="AR113" s="849"/>
    </row>
    <row r="114" spans="1:44" ht="12.75" customHeight="1" x14ac:dyDescent="0.25">
      <c r="A114" s="439">
        <f>'Input-FX Rates'!$C$4</f>
        <v>242</v>
      </c>
      <c r="B114" s="439" t="str">
        <f>'Input-FX Rates'!$B$4</f>
        <v>ICH Icheon (242)</v>
      </c>
      <c r="C114" s="439">
        <f>'Input-FX Rates'!$C$6</f>
        <v>750</v>
      </c>
      <c r="D114" s="439" t="str">
        <f>'Input-FX Rates'!$B$6</f>
        <v>750 BU Sensorics &amp; Controls</v>
      </c>
      <c r="E114" s="439" t="str">
        <f>'Input-FX Rates'!$C$5</f>
        <v>7521 &amp; 7522</v>
      </c>
      <c r="F114" s="439" t="str">
        <f>'Input-FX Rates'!$B$5</f>
        <v>7521 &amp; 7522 PL Mechatronic Sensors (&amp; Electrification)</v>
      </c>
      <c r="G114" s="439" t="s">
        <v>1439</v>
      </c>
      <c r="H114" s="439" t="s">
        <v>439</v>
      </c>
      <c r="I114" s="523"/>
      <c r="J114" s="523"/>
      <c r="K114" s="524">
        <f>'4. Fix Cost (GC)'!B13</f>
        <v>-19.013446937657505</v>
      </c>
      <c r="L114" s="524">
        <f>'4. Fix Cost (GC)'!C13</f>
        <v>-18.975149139033913</v>
      </c>
      <c r="M114" s="523"/>
      <c r="N114" s="523"/>
      <c r="O114" s="524">
        <f>'4. Fix Cost (GC)'!Q13</f>
        <v>0</v>
      </c>
      <c r="P114" s="524">
        <f>'4. Fix Cost (GC)'!R13</f>
        <v>0</v>
      </c>
      <c r="Q114" s="523"/>
      <c r="R114" s="523"/>
      <c r="S114" s="523"/>
      <c r="T114" s="523"/>
      <c r="U114" s="523"/>
      <c r="V114" s="523"/>
      <c r="W114" s="524">
        <f>'4. Fix Cost (GC)'!E13</f>
        <v>0</v>
      </c>
      <c r="X114" s="524">
        <f>'4. Fix Cost (GC)'!F13</f>
        <v>0</v>
      </c>
      <c r="Y114" s="524">
        <f>'4. Fix Cost (GC)'!G13</f>
        <v>0</v>
      </c>
      <c r="Z114" s="524">
        <f>'4. Fix Cost (GC)'!H13</f>
        <v>0</v>
      </c>
      <c r="AA114" s="524">
        <f>'4. Fix Cost (GC)'!I13</f>
        <v>0</v>
      </c>
      <c r="AB114" s="524">
        <f>'4. Fix Cost (GC)'!J13</f>
        <v>0</v>
      </c>
      <c r="AC114" s="524">
        <f>'4. Fix Cost (GC)'!K13</f>
        <v>0</v>
      </c>
      <c r="AD114" s="524">
        <f>'4. Fix Cost (GC)'!L13</f>
        <v>0</v>
      </c>
      <c r="AE114" s="524">
        <f>'4. Fix Cost (GC)'!M13</f>
        <v>0</v>
      </c>
      <c r="AF114" s="524">
        <f>'4. Fix Cost (GC)'!N13</f>
        <v>0</v>
      </c>
      <c r="AG114" s="524">
        <f>'4. Fix Cost (GC)'!O13</f>
        <v>0</v>
      </c>
      <c r="AH114" s="524">
        <f>'4. Fix Cost (GC)'!P13</f>
        <v>0</v>
      </c>
      <c r="AI114" s="523"/>
      <c r="AJ114" s="523"/>
      <c r="AK114" s="523"/>
      <c r="AL114" s="523"/>
      <c r="AM114" s="523"/>
      <c r="AN114" s="523"/>
      <c r="AO114" s="439" t="str">
        <f>'4. Fix Cost (GC)'!W13</f>
        <v/>
      </c>
      <c r="AP114" s="439">
        <v>78</v>
      </c>
      <c r="AQ114" s="439" t="str">
        <f>Settings!$A$1</f>
        <v>V2</v>
      </c>
      <c r="AR114" s="849"/>
    </row>
    <row r="115" spans="1:44" ht="12.75" customHeight="1" x14ac:dyDescent="0.25">
      <c r="A115" s="439">
        <f>'Input-FX Rates'!$C$4</f>
        <v>242</v>
      </c>
      <c r="B115" s="439" t="str">
        <f>'Input-FX Rates'!$B$4</f>
        <v>ICH Icheon (242)</v>
      </c>
      <c r="C115" s="439">
        <f>'Input-FX Rates'!$C$6</f>
        <v>750</v>
      </c>
      <c r="D115" s="439" t="str">
        <f>'Input-FX Rates'!$B$6</f>
        <v>750 BU Sensorics &amp; Controls</v>
      </c>
      <c r="E115" s="439" t="str">
        <f>'Input-FX Rates'!$C$5</f>
        <v>7521 &amp; 7522</v>
      </c>
      <c r="F115" s="439" t="str">
        <f>'Input-FX Rates'!$B$5</f>
        <v>7521 &amp; 7522 PL Mechatronic Sensors (&amp; Electrification)</v>
      </c>
      <c r="G115" s="439" t="s">
        <v>1439</v>
      </c>
      <c r="H115" s="439" t="s">
        <v>441</v>
      </c>
      <c r="I115" s="523"/>
      <c r="J115" s="523"/>
      <c r="K115" s="524">
        <f>'4. Fix Cost (GC)'!B14</f>
        <v>-46.579433564746182</v>
      </c>
      <c r="L115" s="524">
        <f>'4. Fix Cost (GC)'!C14</f>
        <v>-51.720136896714941</v>
      </c>
      <c r="M115" s="523"/>
      <c r="N115" s="523"/>
      <c r="O115" s="524">
        <f>'4. Fix Cost (GC)'!Q14</f>
        <v>-79.455709655172413</v>
      </c>
      <c r="P115" s="524">
        <f>'4. Fix Cost (GC)'!R14</f>
        <v>0</v>
      </c>
      <c r="Q115" s="523"/>
      <c r="R115" s="523"/>
      <c r="S115" s="523"/>
      <c r="T115" s="523"/>
      <c r="U115" s="523"/>
      <c r="V115" s="523"/>
      <c r="W115" s="524">
        <f>'4. Fix Cost (GC)'!E14</f>
        <v>-6.385908275862068</v>
      </c>
      <c r="X115" s="524">
        <f>'4. Fix Cost (GC)'!F14</f>
        <v>-6.6715855172413798</v>
      </c>
      <c r="Y115" s="524">
        <f>'4. Fix Cost (GC)'!G14</f>
        <v>-6.7417310344827586</v>
      </c>
      <c r="Z115" s="524">
        <f>'4. Fix Cost (GC)'!H14</f>
        <v>-6.5216006896551724</v>
      </c>
      <c r="AA115" s="524">
        <f>'4. Fix Cost (GC)'!I14</f>
        <v>-6.6710262068965509</v>
      </c>
      <c r="AB115" s="524">
        <f>'4. Fix Cost (GC)'!J14</f>
        <v>-6.5599420689655163</v>
      </c>
      <c r="AC115" s="524">
        <f>'4. Fix Cost (GC)'!K14</f>
        <v>-6.8184717241379307</v>
      </c>
      <c r="AD115" s="524">
        <f>'4. Fix Cost (GC)'!L14</f>
        <v>-6.5811903448275864</v>
      </c>
      <c r="AE115" s="524">
        <f>'4. Fix Cost (GC)'!M14</f>
        <v>-6.6928358620689652</v>
      </c>
      <c r="AF115" s="524">
        <f>'4. Fix Cost (GC)'!N14</f>
        <v>-6.6749434482758616</v>
      </c>
      <c r="AG115" s="524">
        <f>'4. Fix Cost (GC)'!O14</f>
        <v>-6.4363627586206897</v>
      </c>
      <c r="AH115" s="524">
        <f>'4. Fix Cost (GC)'!P14</f>
        <v>-6.7001117241379315</v>
      </c>
      <c r="AI115" s="523"/>
      <c r="AJ115" s="523"/>
      <c r="AK115" s="523"/>
      <c r="AL115" s="523"/>
      <c r="AM115" s="523"/>
      <c r="AN115" s="523"/>
      <c r="AO115" s="439" t="str">
        <f>'4. Fix Cost (GC)'!W14</f>
        <v>Timing issue, burden material increase</v>
      </c>
      <c r="AP115" s="439">
        <v>79</v>
      </c>
      <c r="AQ115" s="439" t="str">
        <f>Settings!$A$1</f>
        <v>V2</v>
      </c>
      <c r="AR115" s="849"/>
    </row>
    <row r="116" spans="1:44" ht="12.75" customHeight="1" x14ac:dyDescent="0.25">
      <c r="A116" s="439">
        <f>'Input-FX Rates'!$C$4</f>
        <v>242</v>
      </c>
      <c r="B116" s="439" t="str">
        <f>'Input-FX Rates'!$B$4</f>
        <v>ICH Icheon (242)</v>
      </c>
      <c r="C116" s="439">
        <f>'Input-FX Rates'!$C$6</f>
        <v>750</v>
      </c>
      <c r="D116" s="439" t="str">
        <f>'Input-FX Rates'!$B$6</f>
        <v>750 BU Sensorics &amp; Controls</v>
      </c>
      <c r="E116" s="439" t="str">
        <f>'Input-FX Rates'!$C$5</f>
        <v>7521 &amp; 7522</v>
      </c>
      <c r="F116" s="439" t="str">
        <f>'Input-FX Rates'!$B$5</f>
        <v>7521 &amp; 7522 PL Mechatronic Sensors (&amp; Electrification)</v>
      </c>
      <c r="G116" s="439" t="s">
        <v>1439</v>
      </c>
      <c r="H116" s="439" t="s">
        <v>444</v>
      </c>
      <c r="I116" s="523"/>
      <c r="J116" s="523"/>
      <c r="K116" s="524">
        <f>'4. Fix Cost (GC)'!B15</f>
        <v>-379.41553501432179</v>
      </c>
      <c r="L116" s="524">
        <f>'4. Fix Cost (GC)'!C15</f>
        <v>-664.27062151068117</v>
      </c>
      <c r="M116" s="523"/>
      <c r="N116" s="523"/>
      <c r="O116" s="524">
        <f>'4. Fix Cost (GC)'!Q15</f>
        <v>-744.19663931034495</v>
      </c>
      <c r="P116" s="524">
        <f>'4. Fix Cost (GC)'!R15</f>
        <v>-630</v>
      </c>
      <c r="Q116" s="523"/>
      <c r="R116" s="523"/>
      <c r="S116" s="523"/>
      <c r="T116" s="523"/>
      <c r="U116" s="523"/>
      <c r="V116" s="523"/>
      <c r="W116" s="524">
        <f>'4. Fix Cost (GC)'!E15</f>
        <v>-64.551859310344824</v>
      </c>
      <c r="X116" s="524">
        <f>'4. Fix Cost (GC)'!F15</f>
        <v>-65.506517241379314</v>
      </c>
      <c r="Y116" s="524">
        <f>'4. Fix Cost (GC)'!G15</f>
        <v>-61.510311724137921</v>
      </c>
      <c r="Z116" s="524">
        <f>'4. Fix Cost (GC)'!H15</f>
        <v>-54.119300689655162</v>
      </c>
      <c r="AA116" s="524">
        <f>'4. Fix Cost (GC)'!I15</f>
        <v>-58.029308965517238</v>
      </c>
      <c r="AB116" s="524">
        <f>'4. Fix Cost (GC)'!J15</f>
        <v>-57.053235862068959</v>
      </c>
      <c r="AC116" s="524">
        <f>'4. Fix Cost (GC)'!K15</f>
        <v>-70.264733103448279</v>
      </c>
      <c r="AD116" s="524">
        <f>'4. Fix Cost (GC)'!L15</f>
        <v>-65.109044137931022</v>
      </c>
      <c r="AE116" s="524">
        <f>'4. Fix Cost (GC)'!M15</f>
        <v>-65.375938620689652</v>
      </c>
      <c r="AF116" s="524">
        <f>'4. Fix Cost (GC)'!N15</f>
        <v>-60.213370344827588</v>
      </c>
      <c r="AG116" s="524">
        <f>'4. Fix Cost (GC)'!O15</f>
        <v>-60.841591034482747</v>
      </c>
      <c r="AH116" s="524">
        <f>'4. Fix Cost (GC)'!P15</f>
        <v>-61.621428275862066</v>
      </c>
      <c r="AI116" s="523"/>
      <c r="AJ116" s="523"/>
      <c r="AK116" s="523"/>
      <c r="AL116" s="523"/>
      <c r="AM116" s="523"/>
      <c r="AN116" s="523"/>
      <c r="AO116" s="439" t="str">
        <f>'4. Fix Cost (GC)'!W15</f>
        <v/>
      </c>
      <c r="AP116" s="439">
        <v>80</v>
      </c>
      <c r="AQ116" s="439" t="str">
        <f>Settings!$A$1</f>
        <v>V2</v>
      </c>
      <c r="AR116" s="849"/>
    </row>
    <row r="117" spans="1:44" ht="12.75" customHeight="1" x14ac:dyDescent="0.25">
      <c r="A117" s="439">
        <f>'Input-FX Rates'!$C$4</f>
        <v>242</v>
      </c>
      <c r="B117" s="439" t="str">
        <f>'Input-FX Rates'!$B$4</f>
        <v>ICH Icheon (242)</v>
      </c>
      <c r="C117" s="439">
        <f>'Input-FX Rates'!$C$6</f>
        <v>750</v>
      </c>
      <c r="D117" s="439" t="str">
        <f>'Input-FX Rates'!$B$6</f>
        <v>750 BU Sensorics &amp; Controls</v>
      </c>
      <c r="E117" s="439" t="str">
        <f>'Input-FX Rates'!$C$5</f>
        <v>7521 &amp; 7522</v>
      </c>
      <c r="F117" s="439" t="str">
        <f>'Input-FX Rates'!$B$5</f>
        <v>7521 &amp; 7522 PL Mechatronic Sensors (&amp; Electrification)</v>
      </c>
      <c r="G117" s="439" t="s">
        <v>1439</v>
      </c>
      <c r="H117" s="439" t="s">
        <v>445</v>
      </c>
      <c r="I117" s="523"/>
      <c r="J117" s="523"/>
      <c r="K117" s="524">
        <f>'4. Fix Cost (GC)'!B16</f>
        <v>-119.95613557621665</v>
      </c>
      <c r="L117" s="524">
        <f>'4. Fix Cost (GC)'!C16</f>
        <v>-314.2544369118167</v>
      </c>
      <c r="M117" s="523"/>
      <c r="N117" s="523"/>
      <c r="O117" s="524">
        <f>'4. Fix Cost (GC)'!Q16</f>
        <v>-295.09961379310346</v>
      </c>
      <c r="P117" s="524">
        <f>'4. Fix Cost (GC)'!R16</f>
        <v>0</v>
      </c>
      <c r="Q117" s="523"/>
      <c r="R117" s="523"/>
      <c r="S117" s="523"/>
      <c r="T117" s="523"/>
      <c r="U117" s="523"/>
      <c r="V117" s="523"/>
      <c r="W117" s="524">
        <f>'4. Fix Cost (GC)'!E16</f>
        <v>-24.591634482758622</v>
      </c>
      <c r="X117" s="524">
        <f>'4. Fix Cost (GC)'!F16</f>
        <v>-24.591634482758622</v>
      </c>
      <c r="Y117" s="524">
        <f>'4. Fix Cost (GC)'!G16</f>
        <v>-24.591634482758622</v>
      </c>
      <c r="Z117" s="524">
        <f>'4. Fix Cost (GC)'!H16</f>
        <v>-24.591634482758622</v>
      </c>
      <c r="AA117" s="524">
        <f>'4. Fix Cost (GC)'!I16</f>
        <v>-24.591634482758622</v>
      </c>
      <c r="AB117" s="524">
        <f>'4. Fix Cost (GC)'!J16</f>
        <v>-24.591634482758622</v>
      </c>
      <c r="AC117" s="524">
        <f>'4. Fix Cost (GC)'!K16</f>
        <v>-24.591634482758622</v>
      </c>
      <c r="AD117" s="524">
        <f>'4. Fix Cost (GC)'!L16</f>
        <v>-24.591634482758622</v>
      </c>
      <c r="AE117" s="524">
        <f>'4. Fix Cost (GC)'!M16</f>
        <v>-24.591634482758622</v>
      </c>
      <c r="AF117" s="524">
        <f>'4. Fix Cost (GC)'!N16</f>
        <v>-24.591634482758622</v>
      </c>
      <c r="AG117" s="524">
        <f>'4. Fix Cost (GC)'!O16</f>
        <v>-24.591634482758622</v>
      </c>
      <c r="AH117" s="524">
        <f>'4. Fix Cost (GC)'!P16</f>
        <v>-24.591634482758622</v>
      </c>
      <c r="AI117" s="523"/>
      <c r="AJ117" s="523"/>
      <c r="AK117" s="523"/>
      <c r="AL117" s="523"/>
      <c r="AM117" s="523"/>
      <c r="AN117" s="523"/>
      <c r="AO117" s="439" t="str">
        <f>'4. Fix Cost (GC)'!W16</f>
        <v>FC7+5</v>
      </c>
      <c r="AP117" s="439">
        <v>81</v>
      </c>
      <c r="AQ117" s="439" t="str">
        <f>Settings!$A$1</f>
        <v>V2</v>
      </c>
      <c r="AR117" s="849"/>
    </row>
    <row r="118" spans="1:44" ht="12.75" customHeight="1" x14ac:dyDescent="0.25">
      <c r="A118" s="439">
        <f>'Input-FX Rates'!$C$4</f>
        <v>242</v>
      </c>
      <c r="B118" s="439" t="str">
        <f>'Input-FX Rates'!$B$4</f>
        <v>ICH Icheon (242)</v>
      </c>
      <c r="C118" s="439">
        <f>'Input-FX Rates'!$C$6</f>
        <v>750</v>
      </c>
      <c r="D118" s="439" t="str">
        <f>'Input-FX Rates'!$B$6</f>
        <v>750 BU Sensorics &amp; Controls</v>
      </c>
      <c r="E118" s="439" t="str">
        <f>'Input-FX Rates'!$C$5</f>
        <v>7521 &amp; 7522</v>
      </c>
      <c r="F118" s="439" t="str">
        <f>'Input-FX Rates'!$B$5</f>
        <v>7521 &amp; 7522 PL Mechatronic Sensors (&amp; Electrification)</v>
      </c>
      <c r="G118" s="439" t="s">
        <v>1439</v>
      </c>
      <c r="H118" s="439" t="s">
        <v>448</v>
      </c>
      <c r="I118" s="523"/>
      <c r="J118" s="523"/>
      <c r="K118" s="524">
        <f>'4. Fix Cost (GC)'!B17</f>
        <v>-38.868080770057794</v>
      </c>
      <c r="L118" s="524">
        <f>'4. Fix Cost (GC)'!C17</f>
        <v>-98.169767508429672</v>
      </c>
      <c r="M118" s="523"/>
      <c r="N118" s="523"/>
      <c r="O118" s="524">
        <f>'4. Fix Cost (GC)'!Q17</f>
        <v>-89.019177931034491</v>
      </c>
      <c r="P118" s="524">
        <f>'4. Fix Cost (GC)'!R17</f>
        <v>0</v>
      </c>
      <c r="Q118" s="523"/>
      <c r="R118" s="523"/>
      <c r="S118" s="523"/>
      <c r="T118" s="523"/>
      <c r="U118" s="523"/>
      <c r="V118" s="523"/>
      <c r="W118" s="524">
        <f>'4. Fix Cost (GC)'!E17</f>
        <v>-7.4182648275862073</v>
      </c>
      <c r="X118" s="524">
        <f>'4. Fix Cost (GC)'!F17</f>
        <v>-7.4182648275862073</v>
      </c>
      <c r="Y118" s="524">
        <f>'4. Fix Cost (GC)'!G17</f>
        <v>-7.4182648275862073</v>
      </c>
      <c r="Z118" s="524">
        <f>'4. Fix Cost (GC)'!H17</f>
        <v>-7.4182648275862073</v>
      </c>
      <c r="AA118" s="524">
        <f>'4. Fix Cost (GC)'!I17</f>
        <v>-7.4182648275862073</v>
      </c>
      <c r="AB118" s="524">
        <f>'4. Fix Cost (GC)'!J17</f>
        <v>-7.4182648275862073</v>
      </c>
      <c r="AC118" s="524">
        <f>'4. Fix Cost (GC)'!K17</f>
        <v>-7.4182648275862073</v>
      </c>
      <c r="AD118" s="524">
        <f>'4. Fix Cost (GC)'!L17</f>
        <v>-7.4182648275862073</v>
      </c>
      <c r="AE118" s="524">
        <f>'4. Fix Cost (GC)'!M17</f>
        <v>-7.4182648275862073</v>
      </c>
      <c r="AF118" s="524">
        <f>'4. Fix Cost (GC)'!N17</f>
        <v>-7.4182648275862073</v>
      </c>
      <c r="AG118" s="524">
        <f>'4. Fix Cost (GC)'!O17</f>
        <v>-7.4182648275862073</v>
      </c>
      <c r="AH118" s="524">
        <f>'4. Fix Cost (GC)'!P17</f>
        <v>-7.4182648275862073</v>
      </c>
      <c r="AI118" s="523"/>
      <c r="AJ118" s="523"/>
      <c r="AK118" s="523"/>
      <c r="AL118" s="523"/>
      <c r="AM118" s="523"/>
      <c r="AN118" s="523"/>
      <c r="AO118" s="439" t="str">
        <f>'4. Fix Cost (GC)'!W17</f>
        <v>FC7+5</v>
      </c>
      <c r="AP118" s="439">
        <v>82</v>
      </c>
      <c r="AQ118" s="439" t="str">
        <f>Settings!$A$1</f>
        <v>V2</v>
      </c>
      <c r="AR118" s="849"/>
    </row>
    <row r="119" spans="1:44" ht="12.75" customHeight="1" x14ac:dyDescent="0.25">
      <c r="A119" s="439">
        <f>'Input-FX Rates'!$C$4</f>
        <v>242</v>
      </c>
      <c r="B119" s="439" t="str">
        <f>'Input-FX Rates'!$B$4</f>
        <v>ICH Icheon (242)</v>
      </c>
      <c r="C119" s="439">
        <f>'Input-FX Rates'!$C$6</f>
        <v>750</v>
      </c>
      <c r="D119" s="439" t="str">
        <f>'Input-FX Rates'!$B$6</f>
        <v>750 BU Sensorics &amp; Controls</v>
      </c>
      <c r="E119" s="439" t="str">
        <f>'Input-FX Rates'!$C$5</f>
        <v>7521 &amp; 7522</v>
      </c>
      <c r="F119" s="439" t="str">
        <f>'Input-FX Rates'!$B$5</f>
        <v>7521 &amp; 7522 PL Mechatronic Sensors (&amp; Electrification)</v>
      </c>
      <c r="G119" s="439" t="s">
        <v>1439</v>
      </c>
      <c r="H119" s="439" t="s">
        <v>450</v>
      </c>
      <c r="I119" s="523"/>
      <c r="J119" s="523"/>
      <c r="K119" s="524">
        <f>'4. Fix Cost (GC)'!B18</f>
        <v>0</v>
      </c>
      <c r="L119" s="524">
        <f>'4. Fix Cost (GC)'!C18</f>
        <v>0</v>
      </c>
      <c r="M119" s="523"/>
      <c r="N119" s="523"/>
      <c r="O119" s="524">
        <f>'4. Fix Cost (GC)'!Q18</f>
        <v>0</v>
      </c>
      <c r="P119" s="524">
        <f>'4. Fix Cost (GC)'!R18</f>
        <v>0</v>
      </c>
      <c r="Q119" s="523"/>
      <c r="R119" s="523"/>
      <c r="S119" s="523"/>
      <c r="T119" s="523"/>
      <c r="U119" s="523"/>
      <c r="V119" s="523"/>
      <c r="W119" s="524">
        <f>'4. Fix Cost (GC)'!E18</f>
        <v>0</v>
      </c>
      <c r="X119" s="524">
        <f>'4. Fix Cost (GC)'!F18</f>
        <v>0</v>
      </c>
      <c r="Y119" s="524">
        <f>'4. Fix Cost (GC)'!G18</f>
        <v>0</v>
      </c>
      <c r="Z119" s="524">
        <f>'4. Fix Cost (GC)'!H18</f>
        <v>0</v>
      </c>
      <c r="AA119" s="524">
        <f>'4. Fix Cost (GC)'!I18</f>
        <v>0</v>
      </c>
      <c r="AB119" s="524">
        <f>'4. Fix Cost (GC)'!J18</f>
        <v>0</v>
      </c>
      <c r="AC119" s="524">
        <f>'4. Fix Cost (GC)'!K18</f>
        <v>0</v>
      </c>
      <c r="AD119" s="524">
        <f>'4. Fix Cost (GC)'!L18</f>
        <v>0</v>
      </c>
      <c r="AE119" s="524">
        <f>'4. Fix Cost (GC)'!M18</f>
        <v>0</v>
      </c>
      <c r="AF119" s="524">
        <f>'4. Fix Cost (GC)'!N18</f>
        <v>0</v>
      </c>
      <c r="AG119" s="524">
        <f>'4. Fix Cost (GC)'!O18</f>
        <v>0</v>
      </c>
      <c r="AH119" s="524">
        <f>'4. Fix Cost (GC)'!P18</f>
        <v>0</v>
      </c>
      <c r="AI119" s="523"/>
      <c r="AJ119" s="523"/>
      <c r="AK119" s="523"/>
      <c r="AL119" s="523"/>
      <c r="AM119" s="523"/>
      <c r="AN119" s="523"/>
      <c r="AO119" s="439" t="str">
        <f>'4. Fix Cost (GC)'!W18</f>
        <v>no line share cost</v>
      </c>
      <c r="AP119" s="439">
        <v>83</v>
      </c>
      <c r="AQ119" s="439" t="str">
        <f>Settings!$A$1</f>
        <v>V2</v>
      </c>
      <c r="AR119" s="849"/>
    </row>
    <row r="120" spans="1:44" ht="12.75" customHeight="1" x14ac:dyDescent="0.25">
      <c r="A120" s="439">
        <f>'Input-FX Rates'!$C$4</f>
        <v>242</v>
      </c>
      <c r="B120" s="439" t="str">
        <f>'Input-FX Rates'!$B$4</f>
        <v>ICH Icheon (242)</v>
      </c>
      <c r="C120" s="439">
        <f>'Input-FX Rates'!$C$6</f>
        <v>750</v>
      </c>
      <c r="D120" s="439" t="str">
        <f>'Input-FX Rates'!$B$6</f>
        <v>750 BU Sensorics &amp; Controls</v>
      </c>
      <c r="E120" s="439" t="str">
        <f>'Input-FX Rates'!$C$5</f>
        <v>7521 &amp; 7522</v>
      </c>
      <c r="F120" s="439" t="str">
        <f>'Input-FX Rates'!$B$5</f>
        <v>7521 &amp; 7522 PL Mechatronic Sensors (&amp; Electrification)</v>
      </c>
      <c r="G120" s="439" t="s">
        <v>1439</v>
      </c>
      <c r="H120" s="439" t="s">
        <v>453</v>
      </c>
      <c r="I120" s="523"/>
      <c r="J120" s="523"/>
      <c r="K120" s="524">
        <f>'4. Fix Cost (GC)'!B19</f>
        <v>0</v>
      </c>
      <c r="L120" s="524">
        <f>'4. Fix Cost (GC)'!C19</f>
        <v>0</v>
      </c>
      <c r="M120" s="523"/>
      <c r="N120" s="523"/>
      <c r="O120" s="524">
        <f>'4. Fix Cost (GC)'!Q19</f>
        <v>-461.24137655172416</v>
      </c>
      <c r="P120" s="524">
        <f>'4. Fix Cost (GC)'!R19</f>
        <v>0</v>
      </c>
      <c r="Q120" s="523"/>
      <c r="R120" s="523"/>
      <c r="S120" s="523"/>
      <c r="T120" s="523"/>
      <c r="U120" s="523"/>
      <c r="V120" s="523"/>
      <c r="W120" s="524">
        <f>'4. Fix Cost (GC)'!E19</f>
        <v>-38.436781379310347</v>
      </c>
      <c r="X120" s="524">
        <f>'4. Fix Cost (GC)'!F19</f>
        <v>-38.436781379310347</v>
      </c>
      <c r="Y120" s="524">
        <f>'4. Fix Cost (GC)'!G19</f>
        <v>-38.436781379310347</v>
      </c>
      <c r="Z120" s="524">
        <f>'4. Fix Cost (GC)'!H19</f>
        <v>-38.436781379310347</v>
      </c>
      <c r="AA120" s="524">
        <f>'4. Fix Cost (GC)'!I19</f>
        <v>-38.436781379310347</v>
      </c>
      <c r="AB120" s="524">
        <f>'4. Fix Cost (GC)'!J19</f>
        <v>-38.436781379310347</v>
      </c>
      <c r="AC120" s="524">
        <f>'4. Fix Cost (GC)'!K19</f>
        <v>-38.436781379310347</v>
      </c>
      <c r="AD120" s="524">
        <f>'4. Fix Cost (GC)'!L19</f>
        <v>-38.436781379310347</v>
      </c>
      <c r="AE120" s="524">
        <f>'4. Fix Cost (GC)'!M19</f>
        <v>-38.436781379310347</v>
      </c>
      <c r="AF120" s="524">
        <f>'4. Fix Cost (GC)'!N19</f>
        <v>-38.436781379310347</v>
      </c>
      <c r="AG120" s="524">
        <f>'4. Fix Cost (GC)'!O19</f>
        <v>-38.436781379310347</v>
      </c>
      <c r="AH120" s="524">
        <f>'4. Fix Cost (GC)'!P19</f>
        <v>-38.436781379310347</v>
      </c>
      <c r="AI120" s="523"/>
      <c r="AJ120" s="523"/>
      <c r="AK120" s="523"/>
      <c r="AL120" s="523"/>
      <c r="AM120" s="523"/>
      <c r="AN120" s="523"/>
      <c r="AO120" s="439" t="str">
        <f>'4. Fix Cost (GC)'!W19</f>
        <v>Intangible asset(goodwill) trasferred from Sejong MES(219-7521)</v>
      </c>
      <c r="AP120" s="439">
        <v>84</v>
      </c>
      <c r="AQ120" s="439" t="str">
        <f>Settings!$A$1</f>
        <v>V2</v>
      </c>
      <c r="AR120" s="849"/>
    </row>
    <row r="121" spans="1:44" ht="12.75" customHeight="1" x14ac:dyDescent="0.25">
      <c r="A121" s="439">
        <f>'Input-FX Rates'!$C$4</f>
        <v>242</v>
      </c>
      <c r="B121" s="439" t="str">
        <f>'Input-FX Rates'!$B$4</f>
        <v>ICH Icheon (242)</v>
      </c>
      <c r="C121" s="439">
        <f>'Input-FX Rates'!$C$6</f>
        <v>750</v>
      </c>
      <c r="D121" s="439" t="str">
        <f>'Input-FX Rates'!$B$6</f>
        <v>750 BU Sensorics &amp; Controls</v>
      </c>
      <c r="E121" s="439" t="str">
        <f>'Input-FX Rates'!$C$5</f>
        <v>7521 &amp; 7522</v>
      </c>
      <c r="F121" s="439" t="str">
        <f>'Input-FX Rates'!$B$5</f>
        <v>7521 &amp; 7522 PL Mechatronic Sensors (&amp; Electrification)</v>
      </c>
      <c r="G121" s="439" t="s">
        <v>1439</v>
      </c>
      <c r="H121" s="439" t="s">
        <v>455</v>
      </c>
      <c r="I121" s="523"/>
      <c r="J121" s="523"/>
      <c r="K121" s="524">
        <f>'4. Fix Cost (GC)'!B20</f>
        <v>-46.692474708155991</v>
      </c>
      <c r="L121" s="524">
        <f>'4. Fix Cost (GC)'!C20</f>
        <v>-88.963913815864061</v>
      </c>
      <c r="M121" s="523"/>
      <c r="N121" s="523"/>
      <c r="O121" s="524">
        <f>'4. Fix Cost (GC)'!Q20</f>
        <v>-79.222651034482752</v>
      </c>
      <c r="P121" s="524">
        <f>'4. Fix Cost (GC)'!R20</f>
        <v>0</v>
      </c>
      <c r="Q121" s="523"/>
      <c r="R121" s="523"/>
      <c r="S121" s="523"/>
      <c r="T121" s="523"/>
      <c r="U121" s="523"/>
      <c r="V121" s="523"/>
      <c r="W121" s="524">
        <f>'4. Fix Cost (GC)'!E20</f>
        <v>-6.601887586206896</v>
      </c>
      <c r="X121" s="524">
        <f>'4. Fix Cost (GC)'!F20</f>
        <v>-6.601887586206896</v>
      </c>
      <c r="Y121" s="524">
        <f>'4. Fix Cost (GC)'!G20</f>
        <v>-6.601887586206896</v>
      </c>
      <c r="Z121" s="524">
        <f>'4. Fix Cost (GC)'!H20</f>
        <v>-6.601887586206896</v>
      </c>
      <c r="AA121" s="524">
        <f>'4. Fix Cost (GC)'!I20</f>
        <v>-6.601887586206896</v>
      </c>
      <c r="AB121" s="524">
        <f>'4. Fix Cost (GC)'!J20</f>
        <v>-6.601887586206896</v>
      </c>
      <c r="AC121" s="524">
        <f>'4. Fix Cost (GC)'!K20</f>
        <v>-6.601887586206896</v>
      </c>
      <c r="AD121" s="524">
        <f>'4. Fix Cost (GC)'!L20</f>
        <v>-6.601887586206896</v>
      </c>
      <c r="AE121" s="524">
        <f>'4. Fix Cost (GC)'!M20</f>
        <v>-6.601887586206896</v>
      </c>
      <c r="AF121" s="524">
        <f>'4. Fix Cost (GC)'!N20</f>
        <v>-6.601887586206896</v>
      </c>
      <c r="AG121" s="524">
        <f>'4. Fix Cost (GC)'!O20</f>
        <v>-6.601887586206896</v>
      </c>
      <c r="AH121" s="524">
        <f>'4. Fix Cost (GC)'!P20</f>
        <v>-6.601887586206896</v>
      </c>
      <c r="AI121" s="523"/>
      <c r="AJ121" s="523"/>
      <c r="AK121" s="523"/>
      <c r="AL121" s="523"/>
      <c r="AM121" s="523"/>
      <c r="AN121" s="523"/>
      <c r="AO121" s="439" t="str">
        <f>'4. Fix Cost (GC)'!W20</f>
        <v/>
      </c>
      <c r="AP121" s="439">
        <v>85</v>
      </c>
      <c r="AQ121" s="439" t="str">
        <f>Settings!$A$1</f>
        <v>V2</v>
      </c>
      <c r="AR121" s="849"/>
    </row>
    <row r="122" spans="1:44" ht="12.75" customHeight="1" x14ac:dyDescent="0.25">
      <c r="A122" s="439">
        <f>'Input-FX Rates'!$C$4</f>
        <v>242</v>
      </c>
      <c r="B122" s="439" t="str">
        <f>'Input-FX Rates'!$B$4</f>
        <v>ICH Icheon (242)</v>
      </c>
      <c r="C122" s="439">
        <f>'Input-FX Rates'!$C$6</f>
        <v>750</v>
      </c>
      <c r="D122" s="439" t="str">
        <f>'Input-FX Rates'!$B$6</f>
        <v>750 BU Sensorics &amp; Controls</v>
      </c>
      <c r="E122" s="439" t="str">
        <f>'Input-FX Rates'!$C$5</f>
        <v>7521 &amp; 7522</v>
      </c>
      <c r="F122" s="439" t="str">
        <f>'Input-FX Rates'!$B$5</f>
        <v>7521 &amp; 7522 PL Mechatronic Sensors (&amp; Electrification)</v>
      </c>
      <c r="G122" s="439" t="s">
        <v>1439</v>
      </c>
      <c r="H122" s="439" t="s">
        <v>457</v>
      </c>
      <c r="I122" s="523"/>
      <c r="J122" s="523"/>
      <c r="K122" s="524">
        <f>'4. Fix Cost (GC)'!B21</f>
        <v>-205.51669105443045</v>
      </c>
      <c r="L122" s="524">
        <f>'4. Fix Cost (GC)'!C21</f>
        <v>-501.38811823611042</v>
      </c>
      <c r="M122" s="523"/>
      <c r="N122" s="523"/>
      <c r="O122" s="524">
        <f>'4. Fix Cost (GC)'!Q21</f>
        <v>-924.5828193103448</v>
      </c>
      <c r="P122" s="524">
        <f>'4. Fix Cost (GC)'!R21</f>
        <v>0</v>
      </c>
      <c r="Q122" s="523"/>
      <c r="R122" s="523"/>
      <c r="S122" s="523"/>
      <c r="T122" s="523"/>
      <c r="U122" s="523"/>
      <c r="V122" s="523"/>
      <c r="W122" s="524">
        <f>'4. Fix Cost (GC)'!E21</f>
        <v>-77.048568275862067</v>
      </c>
      <c r="X122" s="524">
        <f>'4. Fix Cost (GC)'!F21</f>
        <v>-77.048568275862067</v>
      </c>
      <c r="Y122" s="524">
        <f>'4. Fix Cost (GC)'!G21</f>
        <v>-77.048568275862067</v>
      </c>
      <c r="Z122" s="524">
        <f>'4. Fix Cost (GC)'!H21</f>
        <v>-77.048568275862067</v>
      </c>
      <c r="AA122" s="524">
        <f>'4. Fix Cost (GC)'!I21</f>
        <v>-77.048568275862067</v>
      </c>
      <c r="AB122" s="524">
        <f>'4. Fix Cost (GC)'!J21</f>
        <v>-77.048568275862067</v>
      </c>
      <c r="AC122" s="524">
        <f>'4. Fix Cost (GC)'!K21</f>
        <v>-77.048568275862067</v>
      </c>
      <c r="AD122" s="524">
        <f>'4. Fix Cost (GC)'!L21</f>
        <v>-77.048568275862067</v>
      </c>
      <c r="AE122" s="524">
        <f>'4. Fix Cost (GC)'!M21</f>
        <v>-77.048568275862067</v>
      </c>
      <c r="AF122" s="524">
        <f>'4. Fix Cost (GC)'!N21</f>
        <v>-77.048568275862067</v>
      </c>
      <c r="AG122" s="524">
        <f>'4. Fix Cost (GC)'!O21</f>
        <v>-77.048568275862067</v>
      </c>
      <c r="AH122" s="524">
        <f>'4. Fix Cost (GC)'!P21</f>
        <v>-77.048568275862067</v>
      </c>
      <c r="AI122" s="523"/>
      <c r="AJ122" s="523"/>
      <c r="AK122" s="523"/>
      <c r="AL122" s="523"/>
      <c r="AM122" s="523"/>
      <c r="AN122" s="523"/>
      <c r="AO122" s="439" t="str">
        <f>'4. Fix Cost (GC)'!W21</f>
        <v/>
      </c>
      <c r="AP122" s="439">
        <v>86</v>
      </c>
      <c r="AQ122" s="439" t="str">
        <f>Settings!$A$1</f>
        <v>V2</v>
      </c>
      <c r="AR122" s="849"/>
    </row>
    <row r="123" spans="1:44" ht="12.75" customHeight="1" x14ac:dyDescent="0.25">
      <c r="A123" s="439">
        <f>'Input-FX Rates'!$C$4</f>
        <v>242</v>
      </c>
      <c r="B123" s="439" t="str">
        <f>'Input-FX Rates'!$B$4</f>
        <v>ICH Icheon (242)</v>
      </c>
      <c r="C123" s="439">
        <f>'Input-FX Rates'!$C$6</f>
        <v>750</v>
      </c>
      <c r="D123" s="439" t="str">
        <f>'Input-FX Rates'!$B$6</f>
        <v>750 BU Sensorics &amp; Controls</v>
      </c>
      <c r="E123" s="439" t="str">
        <f>'Input-FX Rates'!$C$5</f>
        <v>7521 &amp; 7522</v>
      </c>
      <c r="F123" s="439" t="str">
        <f>'Input-FX Rates'!$B$5</f>
        <v>7521 &amp; 7522 PL Mechatronic Sensors (&amp; Electrification)</v>
      </c>
      <c r="G123" s="439" t="s">
        <v>1439</v>
      </c>
      <c r="H123" s="439" t="s">
        <v>458</v>
      </c>
      <c r="I123" s="523"/>
      <c r="J123" s="523"/>
      <c r="K123" s="524">
        <f>'4. Fix Cost (GC)'!B22</f>
        <v>0</v>
      </c>
      <c r="L123" s="524">
        <f>'4. Fix Cost (GC)'!C22</f>
        <v>0</v>
      </c>
      <c r="M123" s="523"/>
      <c r="N123" s="523"/>
      <c r="O123" s="524">
        <f>'4. Fix Cost (GC)'!Q22</f>
        <v>0</v>
      </c>
      <c r="P123" s="524">
        <f>'4. Fix Cost (GC)'!R22</f>
        <v>0</v>
      </c>
      <c r="Q123" s="523"/>
      <c r="R123" s="523"/>
      <c r="S123" s="523"/>
      <c r="T123" s="523"/>
      <c r="U123" s="523"/>
      <c r="V123" s="523"/>
      <c r="W123" s="524">
        <f>'4. Fix Cost (GC)'!E22</f>
        <v>0</v>
      </c>
      <c r="X123" s="524">
        <f>'4. Fix Cost (GC)'!F22</f>
        <v>0</v>
      </c>
      <c r="Y123" s="524">
        <f>'4. Fix Cost (GC)'!G22</f>
        <v>0</v>
      </c>
      <c r="Z123" s="524">
        <f>'4. Fix Cost (GC)'!H22</f>
        <v>0</v>
      </c>
      <c r="AA123" s="524">
        <f>'4. Fix Cost (GC)'!I22</f>
        <v>0</v>
      </c>
      <c r="AB123" s="524">
        <f>'4. Fix Cost (GC)'!J22</f>
        <v>0</v>
      </c>
      <c r="AC123" s="524">
        <f>'4. Fix Cost (GC)'!K22</f>
        <v>0</v>
      </c>
      <c r="AD123" s="524">
        <f>'4. Fix Cost (GC)'!L22</f>
        <v>0</v>
      </c>
      <c r="AE123" s="524">
        <f>'4. Fix Cost (GC)'!M22</f>
        <v>0</v>
      </c>
      <c r="AF123" s="524">
        <f>'4. Fix Cost (GC)'!N22</f>
        <v>0</v>
      </c>
      <c r="AG123" s="524">
        <f>'4. Fix Cost (GC)'!O22</f>
        <v>0</v>
      </c>
      <c r="AH123" s="524">
        <f>'4. Fix Cost (GC)'!P22</f>
        <v>0</v>
      </c>
      <c r="AI123" s="523"/>
      <c r="AJ123" s="523"/>
      <c r="AK123" s="523"/>
      <c r="AL123" s="523"/>
      <c r="AM123" s="523"/>
      <c r="AN123" s="523"/>
      <c r="AO123" s="439" t="str">
        <f>'4. Fix Cost (GC)'!W22</f>
        <v/>
      </c>
      <c r="AP123" s="439">
        <v>87</v>
      </c>
      <c r="AQ123" s="439" t="str">
        <f>Settings!$A$1</f>
        <v>V2</v>
      </c>
      <c r="AR123" s="849"/>
    </row>
    <row r="124" spans="1:44" ht="12.75" customHeight="1" x14ac:dyDescent="0.25">
      <c r="A124" s="439">
        <f>'Input-FX Rates'!$C$4</f>
        <v>242</v>
      </c>
      <c r="B124" s="439" t="str">
        <f>'Input-FX Rates'!$B$4</f>
        <v>ICH Icheon (242)</v>
      </c>
      <c r="C124" s="439">
        <f>'Input-FX Rates'!$C$6</f>
        <v>750</v>
      </c>
      <c r="D124" s="439" t="str">
        <f>'Input-FX Rates'!$B$6</f>
        <v>750 BU Sensorics &amp; Controls</v>
      </c>
      <c r="E124" s="439" t="str">
        <f>'Input-FX Rates'!$C$5</f>
        <v>7521 &amp; 7522</v>
      </c>
      <c r="F124" s="439" t="str">
        <f>'Input-FX Rates'!$B$5</f>
        <v>7521 &amp; 7522 PL Mechatronic Sensors (&amp; Electrification)</v>
      </c>
      <c r="G124" s="439" t="s">
        <v>1439</v>
      </c>
      <c r="H124" s="439" t="s">
        <v>459</v>
      </c>
      <c r="I124" s="523"/>
      <c r="J124" s="523"/>
      <c r="K124" s="524">
        <f>'4. Fix Cost (GC)'!B23</f>
        <v>-584.93222606875224</v>
      </c>
      <c r="L124" s="524">
        <f>'4. Fix Cost (GC)'!C23</f>
        <v>-1165.6587397467918</v>
      </c>
      <c r="M124" s="523"/>
      <c r="N124" s="523"/>
      <c r="O124" s="524">
        <f>'4. Fix Cost (GC)'!Q23</f>
        <v>-1668.7794586206896</v>
      </c>
      <c r="P124" s="524">
        <f>'4. Fix Cost (GC)'!R23</f>
        <v>-630</v>
      </c>
      <c r="Q124" s="523"/>
      <c r="R124" s="523"/>
      <c r="S124" s="523"/>
      <c r="T124" s="523"/>
      <c r="U124" s="523"/>
      <c r="V124" s="523"/>
      <c r="W124" s="524">
        <f>'4. Fix Cost (GC)'!E23</f>
        <v>-141.60042758620691</v>
      </c>
      <c r="X124" s="524">
        <f>'4. Fix Cost (GC)'!F23</f>
        <v>-142.55508551724139</v>
      </c>
      <c r="Y124" s="524">
        <f>'4. Fix Cost (GC)'!G23</f>
        <v>-138.55888000000002</v>
      </c>
      <c r="Z124" s="524">
        <f>'4. Fix Cost (GC)'!H23</f>
        <v>-131.16786896551724</v>
      </c>
      <c r="AA124" s="524">
        <f>'4. Fix Cost (GC)'!I23</f>
        <v>-135.0778772413793</v>
      </c>
      <c r="AB124" s="524">
        <f>'4. Fix Cost (GC)'!J23</f>
        <v>-134.10180413793105</v>
      </c>
      <c r="AC124" s="524">
        <f>'4. Fix Cost (GC)'!K23</f>
        <v>-147.31330137931033</v>
      </c>
      <c r="AD124" s="524">
        <f>'4. Fix Cost (GC)'!L23</f>
        <v>-142.15761241379312</v>
      </c>
      <c r="AE124" s="524">
        <f>'4. Fix Cost (GC)'!M23</f>
        <v>-142.42450689655172</v>
      </c>
      <c r="AF124" s="524">
        <f>'4. Fix Cost (GC)'!N23</f>
        <v>-137.26193862068965</v>
      </c>
      <c r="AG124" s="524">
        <f>'4. Fix Cost (GC)'!O23</f>
        <v>-137.89015931034484</v>
      </c>
      <c r="AH124" s="524">
        <f>'4. Fix Cost (GC)'!P23</f>
        <v>-138.66999655172415</v>
      </c>
      <c r="AI124" s="523"/>
      <c r="AJ124" s="523"/>
      <c r="AK124" s="523"/>
      <c r="AL124" s="523"/>
      <c r="AM124" s="523"/>
      <c r="AN124" s="523"/>
      <c r="AO124" s="439" t="str">
        <f>'4. Fix Cost (GC)'!W23</f>
        <v/>
      </c>
      <c r="AP124" s="439">
        <v>88</v>
      </c>
      <c r="AQ124" s="439" t="str">
        <f>Settings!$A$1</f>
        <v>V2</v>
      </c>
      <c r="AR124" s="849"/>
    </row>
    <row r="125" spans="1:44" ht="12.75" customHeight="1" x14ac:dyDescent="0.25">
      <c r="A125" s="439">
        <f>'Input-FX Rates'!$C$4</f>
        <v>242</v>
      </c>
      <c r="B125" s="439" t="str">
        <f>'Input-FX Rates'!$B$4</f>
        <v>ICH Icheon (242)</v>
      </c>
      <c r="C125" s="439">
        <f>'Input-FX Rates'!$C$6</f>
        <v>750</v>
      </c>
      <c r="D125" s="439" t="str">
        <f>'Input-FX Rates'!$B$6</f>
        <v>750 BU Sensorics &amp; Controls</v>
      </c>
      <c r="E125" s="439" t="str">
        <f>'Input-FX Rates'!$C$5</f>
        <v>7521 &amp; 7522</v>
      </c>
      <c r="F125" s="439" t="str">
        <f>'Input-FX Rates'!$B$5</f>
        <v>7521 &amp; 7522 PL Mechatronic Sensors (&amp; Electrification)</v>
      </c>
      <c r="G125" s="439" t="s">
        <v>1439</v>
      </c>
      <c r="H125" s="439" t="s">
        <v>461</v>
      </c>
      <c r="I125" s="523"/>
      <c r="J125" s="523"/>
      <c r="K125" s="524">
        <f>'4. Fix Cost (GC)'!B24</f>
        <v>-98.558169688609254</v>
      </c>
      <c r="L125" s="524">
        <f>'4. Fix Cost (GC)'!C24</f>
        <v>-212.87887994197882</v>
      </c>
      <c r="M125" s="523"/>
      <c r="N125" s="523"/>
      <c r="O125" s="524">
        <f>'4. Fix Cost (GC)'!Q24</f>
        <v>-129.40859103448275</v>
      </c>
      <c r="P125" s="524">
        <f>'4. Fix Cost (GC)'!R24</f>
        <v>0</v>
      </c>
      <c r="Q125" s="523"/>
      <c r="R125" s="523"/>
      <c r="S125" s="523"/>
      <c r="T125" s="523"/>
      <c r="U125" s="523"/>
      <c r="V125" s="523"/>
      <c r="W125" s="524">
        <f>'4. Fix Cost (GC)'!E24</f>
        <v>-10.998934482758621</v>
      </c>
      <c r="X125" s="524">
        <f>'4. Fix Cost (GC)'!F24</f>
        <v>-10.998934482758621</v>
      </c>
      <c r="Y125" s="524">
        <f>'4. Fix Cost (GC)'!G24</f>
        <v>-10.712955862068966</v>
      </c>
      <c r="Z125" s="524">
        <f>'4. Fix Cost (GC)'!H24</f>
        <v>-10.998934482758621</v>
      </c>
      <c r="AA125" s="524">
        <f>'4. Fix Cost (GC)'!I24</f>
        <v>-11.284913103448275</v>
      </c>
      <c r="AB125" s="524">
        <f>'4. Fix Cost (GC)'!J24</f>
        <v>-10.426976551724138</v>
      </c>
      <c r="AC125" s="524">
        <f>'4. Fix Cost (GC)'!K24</f>
        <v>-11.284913103448275</v>
      </c>
      <c r="AD125" s="524">
        <f>'4. Fix Cost (GC)'!L24</f>
        <v>-10.998404137931034</v>
      </c>
      <c r="AE125" s="524">
        <f>'4. Fix Cost (GC)'!M24</f>
        <v>-9.8539489655172421</v>
      </c>
      <c r="AF125" s="524">
        <f>'4. Fix Cost (GC)'!N24</f>
        <v>-11.28384275862069</v>
      </c>
      <c r="AG125" s="524">
        <f>'4. Fix Cost (GC)'!O24</f>
        <v>-10.997864137931035</v>
      </c>
      <c r="AH125" s="524">
        <f>'4. Fix Cost (GC)'!P24</f>
        <v>-9.5679689655172417</v>
      </c>
      <c r="AI125" s="523"/>
      <c r="AJ125" s="523"/>
      <c r="AK125" s="523"/>
      <c r="AL125" s="523"/>
      <c r="AM125" s="523"/>
      <c r="AN125" s="523"/>
      <c r="AO125" s="439" t="str">
        <f>'4. Fix Cost (GC)'!W24</f>
        <v/>
      </c>
      <c r="AP125" s="439">
        <v>89</v>
      </c>
      <c r="AQ125" s="439" t="str">
        <f>Settings!$A$1</f>
        <v>V2</v>
      </c>
      <c r="AR125" s="849"/>
    </row>
    <row r="126" spans="1:44" ht="12.75" customHeight="1" x14ac:dyDescent="0.25">
      <c r="A126" s="439">
        <f>'Input-FX Rates'!$C$4</f>
        <v>242</v>
      </c>
      <c r="B126" s="439" t="str">
        <f>'Input-FX Rates'!$B$4</f>
        <v>ICH Icheon (242)</v>
      </c>
      <c r="C126" s="439">
        <f>'Input-FX Rates'!$C$6</f>
        <v>750</v>
      </c>
      <c r="D126" s="439" t="str">
        <f>'Input-FX Rates'!$B$6</f>
        <v>750 BU Sensorics &amp; Controls</v>
      </c>
      <c r="E126" s="439" t="str">
        <f>'Input-FX Rates'!$C$5</f>
        <v>7521 &amp; 7522</v>
      </c>
      <c r="F126" s="439" t="str">
        <f>'Input-FX Rates'!$B$5</f>
        <v>7521 &amp; 7522 PL Mechatronic Sensors (&amp; Electrification)</v>
      </c>
      <c r="G126" s="439" t="s">
        <v>1439</v>
      </c>
      <c r="H126" s="439" t="s">
        <v>463</v>
      </c>
      <c r="I126" s="523"/>
      <c r="J126" s="523"/>
      <c r="K126" s="524">
        <f>'4. Fix Cost (GC)'!B25</f>
        <v>-3.3057492308363772</v>
      </c>
      <c r="L126" s="524">
        <f>'4. Fix Cost (GC)'!C25</f>
        <v>-5.0909034019673456</v>
      </c>
      <c r="M126" s="523"/>
      <c r="N126" s="523"/>
      <c r="O126" s="524">
        <f>'4. Fix Cost (GC)'!Q25</f>
        <v>-5.2538813793103447</v>
      </c>
      <c r="P126" s="524">
        <f>'4. Fix Cost (GC)'!R25</f>
        <v>0</v>
      </c>
      <c r="Q126" s="523"/>
      <c r="R126" s="523"/>
      <c r="S126" s="523"/>
      <c r="T126" s="523"/>
      <c r="U126" s="523"/>
      <c r="V126" s="523"/>
      <c r="W126" s="524">
        <f>'4. Fix Cost (GC)'!E25</f>
        <v>-0.73926896551724142</v>
      </c>
      <c r="X126" s="524">
        <f>'4. Fix Cost (GC)'!F25</f>
        <v>-0.95844482758620686</v>
      </c>
      <c r="Y126" s="524">
        <f>'4. Fix Cost (GC)'!G25</f>
        <v>-0.61748413793103452</v>
      </c>
      <c r="Z126" s="524">
        <f>'4. Fix Cost (GC)'!H25</f>
        <v>-0.2733510344827586</v>
      </c>
      <c r="AA126" s="524">
        <f>'4. Fix Cost (GC)'!I25</f>
        <v>-0.41543310344827589</v>
      </c>
      <c r="AB126" s="524">
        <f>'4. Fix Cost (GC)'!J25</f>
        <v>-0.27160827586206898</v>
      </c>
      <c r="AC126" s="524">
        <f>'4. Fix Cost (GC)'!K25</f>
        <v>-0.32869655172413792</v>
      </c>
      <c r="AD126" s="524">
        <f>'4. Fix Cost (GC)'!L25</f>
        <v>-0.23449862068965519</v>
      </c>
      <c r="AE126" s="524">
        <f>'4. Fix Cost (GC)'!M25</f>
        <v>-0.5051289655172414</v>
      </c>
      <c r="AF126" s="524">
        <f>'4. Fix Cost (GC)'!N25</f>
        <v>-0.25849862068965518</v>
      </c>
      <c r="AG126" s="524">
        <f>'4. Fix Cost (GC)'!O25</f>
        <v>-0.38788413793103449</v>
      </c>
      <c r="AH126" s="524">
        <f>'4. Fix Cost (GC)'!P25</f>
        <v>-0.26358413793103447</v>
      </c>
      <c r="AI126" s="523"/>
      <c r="AJ126" s="523"/>
      <c r="AK126" s="523"/>
      <c r="AL126" s="523"/>
      <c r="AM126" s="523"/>
      <c r="AN126" s="523"/>
      <c r="AO126" s="439" t="str">
        <f>'4. Fix Cost (GC)'!W25</f>
        <v/>
      </c>
      <c r="AP126" s="439">
        <v>90</v>
      </c>
      <c r="AQ126" s="439" t="str">
        <f>Settings!$A$1</f>
        <v>V2</v>
      </c>
      <c r="AR126" s="849"/>
    </row>
    <row r="127" spans="1:44" ht="12.75" customHeight="1" x14ac:dyDescent="0.25">
      <c r="A127" s="439">
        <f>'Input-FX Rates'!$C$4</f>
        <v>242</v>
      </c>
      <c r="B127" s="439" t="str">
        <f>'Input-FX Rates'!$B$4</f>
        <v>ICH Icheon (242)</v>
      </c>
      <c r="C127" s="439">
        <f>'Input-FX Rates'!$C$6</f>
        <v>750</v>
      </c>
      <c r="D127" s="439" t="str">
        <f>'Input-FX Rates'!$B$6</f>
        <v>750 BU Sensorics &amp; Controls</v>
      </c>
      <c r="E127" s="439" t="str">
        <f>'Input-FX Rates'!$C$5</f>
        <v>7521 &amp; 7522</v>
      </c>
      <c r="F127" s="439" t="str">
        <f>'Input-FX Rates'!$B$5</f>
        <v>7521 &amp; 7522 PL Mechatronic Sensors (&amp; Electrification)</v>
      </c>
      <c r="G127" s="439" t="s">
        <v>1439</v>
      </c>
      <c r="H127" s="439" t="s">
        <v>465</v>
      </c>
      <c r="I127" s="523"/>
      <c r="J127" s="523"/>
      <c r="K127" s="524">
        <f>'4. Fix Cost (GC)'!B26</f>
        <v>-37.16610320750479</v>
      </c>
      <c r="L127" s="524">
        <f>'4. Fix Cost (GC)'!C26</f>
        <v>-70.78910726769989</v>
      </c>
      <c r="M127" s="523"/>
      <c r="N127" s="523"/>
      <c r="O127" s="524">
        <f>'4. Fix Cost (GC)'!Q26</f>
        <v>-61.969596551724145</v>
      </c>
      <c r="P127" s="524">
        <f>'4. Fix Cost (GC)'!R26</f>
        <v>0</v>
      </c>
      <c r="Q127" s="523"/>
      <c r="R127" s="523"/>
      <c r="S127" s="523"/>
      <c r="T127" s="523"/>
      <c r="U127" s="523"/>
      <c r="V127" s="523"/>
      <c r="W127" s="524">
        <f>'4. Fix Cost (GC)'!E26</f>
        <v>-5.8559924137931034</v>
      </c>
      <c r="X127" s="524">
        <f>'4. Fix Cost (GC)'!F26</f>
        <v>-5.0315882758620685</v>
      </c>
      <c r="Y127" s="524">
        <f>'4. Fix Cost (GC)'!G26</f>
        <v>-5.0313110344827585</v>
      </c>
      <c r="Z127" s="524">
        <f>'4. Fix Cost (GC)'!H26</f>
        <v>-4.7202027586206894</v>
      </c>
      <c r="AA127" s="524">
        <f>'4. Fix Cost (GC)'!I26</f>
        <v>-4.9884972413793101</v>
      </c>
      <c r="AB127" s="524">
        <f>'4. Fix Cost (GC)'!J26</f>
        <v>-4.852411724137931</v>
      </c>
      <c r="AC127" s="524">
        <f>'4. Fix Cost (GC)'!K26</f>
        <v>-6.1874855172413792</v>
      </c>
      <c r="AD127" s="524">
        <f>'4. Fix Cost (GC)'!L26</f>
        <v>-5.2661931034482752</v>
      </c>
      <c r="AE127" s="524">
        <f>'4. Fix Cost (GC)'!M26</f>
        <v>-5.1237668965517242</v>
      </c>
      <c r="AF127" s="524">
        <f>'4. Fix Cost (GC)'!N26</f>
        <v>-4.9007868965517236</v>
      </c>
      <c r="AG127" s="524">
        <f>'4. Fix Cost (GC)'!O26</f>
        <v>-4.9831310344827582</v>
      </c>
      <c r="AH127" s="524">
        <f>'4. Fix Cost (GC)'!P26</f>
        <v>-5.0282296551724137</v>
      </c>
      <c r="AI127" s="523"/>
      <c r="AJ127" s="523"/>
      <c r="AK127" s="523"/>
      <c r="AL127" s="523"/>
      <c r="AM127" s="523"/>
      <c r="AN127" s="523"/>
      <c r="AO127" s="439" t="str">
        <f>'4. Fix Cost (GC)'!W26</f>
        <v xml:space="preserve">Sales decrease impact </v>
      </c>
      <c r="AP127" s="439">
        <v>91</v>
      </c>
      <c r="AQ127" s="439" t="str">
        <f>Settings!$A$1</f>
        <v>V2</v>
      </c>
      <c r="AR127" s="849"/>
    </row>
    <row r="128" spans="1:44" ht="12.75" customHeight="1" x14ac:dyDescent="0.25">
      <c r="A128" s="439">
        <f>'Input-FX Rates'!$C$4</f>
        <v>242</v>
      </c>
      <c r="B128" s="439" t="str">
        <f>'Input-FX Rates'!$B$4</f>
        <v>ICH Icheon (242)</v>
      </c>
      <c r="C128" s="439">
        <f>'Input-FX Rates'!$C$6</f>
        <v>750</v>
      </c>
      <c r="D128" s="439" t="str">
        <f>'Input-FX Rates'!$B$6</f>
        <v>750 BU Sensorics &amp; Controls</v>
      </c>
      <c r="E128" s="439" t="str">
        <f>'Input-FX Rates'!$C$5</f>
        <v>7521 &amp; 7522</v>
      </c>
      <c r="F128" s="439" t="str">
        <f>'Input-FX Rates'!$B$5</f>
        <v>7521 &amp; 7522 PL Mechatronic Sensors (&amp; Electrification)</v>
      </c>
      <c r="G128" s="439" t="s">
        <v>1439</v>
      </c>
      <c r="H128" s="439" t="s">
        <v>448</v>
      </c>
      <c r="I128" s="523"/>
      <c r="J128" s="523"/>
      <c r="K128" s="524">
        <f>'4. Fix Cost (GC)'!B27</f>
        <v>0</v>
      </c>
      <c r="L128" s="524">
        <f>'4. Fix Cost (GC)'!C27</f>
        <v>0</v>
      </c>
      <c r="M128" s="523"/>
      <c r="N128" s="523"/>
      <c r="O128" s="524">
        <f>'4. Fix Cost (GC)'!Q27</f>
        <v>0</v>
      </c>
      <c r="P128" s="524">
        <f>'4. Fix Cost (GC)'!R27</f>
        <v>0</v>
      </c>
      <c r="Q128" s="523"/>
      <c r="R128" s="523"/>
      <c r="S128" s="523"/>
      <c r="T128" s="523"/>
      <c r="U128" s="523"/>
      <c r="V128" s="523"/>
      <c r="W128" s="524">
        <f>'4. Fix Cost (GC)'!E27</f>
        <v>0</v>
      </c>
      <c r="X128" s="524">
        <f>'4. Fix Cost (GC)'!F27</f>
        <v>0</v>
      </c>
      <c r="Y128" s="524">
        <f>'4. Fix Cost (GC)'!G27</f>
        <v>0</v>
      </c>
      <c r="Z128" s="524">
        <f>'4. Fix Cost (GC)'!H27</f>
        <v>0</v>
      </c>
      <c r="AA128" s="524">
        <f>'4. Fix Cost (GC)'!I27</f>
        <v>0</v>
      </c>
      <c r="AB128" s="524">
        <f>'4. Fix Cost (GC)'!J27</f>
        <v>0</v>
      </c>
      <c r="AC128" s="524">
        <f>'4. Fix Cost (GC)'!K27</f>
        <v>0</v>
      </c>
      <c r="AD128" s="524">
        <f>'4. Fix Cost (GC)'!L27</f>
        <v>0</v>
      </c>
      <c r="AE128" s="524">
        <f>'4. Fix Cost (GC)'!M27</f>
        <v>0</v>
      </c>
      <c r="AF128" s="524">
        <f>'4. Fix Cost (GC)'!N27</f>
        <v>0</v>
      </c>
      <c r="AG128" s="524">
        <f>'4. Fix Cost (GC)'!O27</f>
        <v>0</v>
      </c>
      <c r="AH128" s="524">
        <f>'4. Fix Cost (GC)'!P27</f>
        <v>0</v>
      </c>
      <c r="AI128" s="523"/>
      <c r="AJ128" s="523"/>
      <c r="AK128" s="523"/>
      <c r="AL128" s="523"/>
      <c r="AM128" s="523"/>
      <c r="AN128" s="523"/>
      <c r="AO128" s="439" t="str">
        <f>'4. Fix Cost (GC)'!W27</f>
        <v/>
      </c>
      <c r="AP128" s="439">
        <v>92</v>
      </c>
      <c r="AQ128" s="439" t="str">
        <f>Settings!$A$1</f>
        <v>V2</v>
      </c>
      <c r="AR128" s="849"/>
    </row>
    <row r="129" spans="1:44" ht="12.75" customHeight="1" x14ac:dyDescent="0.25">
      <c r="A129" s="439">
        <f>'Input-FX Rates'!$C$4</f>
        <v>242</v>
      </c>
      <c r="B129" s="439" t="str">
        <f>'Input-FX Rates'!$B$4</f>
        <v>ICH Icheon (242)</v>
      </c>
      <c r="C129" s="439">
        <f>'Input-FX Rates'!$C$6</f>
        <v>750</v>
      </c>
      <c r="D129" s="439" t="str">
        <f>'Input-FX Rates'!$B$6</f>
        <v>750 BU Sensorics &amp; Controls</v>
      </c>
      <c r="E129" s="439" t="str">
        <f>'Input-FX Rates'!$C$5</f>
        <v>7521 &amp; 7522</v>
      </c>
      <c r="F129" s="439" t="str">
        <f>'Input-FX Rates'!$B$5</f>
        <v>7521 &amp; 7522 PL Mechatronic Sensors (&amp; Electrification)</v>
      </c>
      <c r="G129" s="439" t="s">
        <v>1439</v>
      </c>
      <c r="H129" s="439" t="s">
        <v>445</v>
      </c>
      <c r="I129" s="523"/>
      <c r="J129" s="523"/>
      <c r="K129" s="524">
        <f>'4. Fix Cost (GC)'!B28</f>
        <v>0</v>
      </c>
      <c r="L129" s="524">
        <f>'4. Fix Cost (GC)'!C28</f>
        <v>0</v>
      </c>
      <c r="M129" s="523"/>
      <c r="N129" s="523"/>
      <c r="O129" s="524">
        <f>'4. Fix Cost (GC)'!Q28</f>
        <v>0</v>
      </c>
      <c r="P129" s="524">
        <f>'4. Fix Cost (GC)'!R28</f>
        <v>0</v>
      </c>
      <c r="Q129" s="523"/>
      <c r="R129" s="523"/>
      <c r="S129" s="523"/>
      <c r="T129" s="523"/>
      <c r="U129" s="523"/>
      <c r="V129" s="523"/>
      <c r="W129" s="524">
        <f>'4. Fix Cost (GC)'!E28</f>
        <v>0</v>
      </c>
      <c r="X129" s="524">
        <f>'4. Fix Cost (GC)'!F28</f>
        <v>0</v>
      </c>
      <c r="Y129" s="524">
        <f>'4. Fix Cost (GC)'!G28</f>
        <v>0</v>
      </c>
      <c r="Z129" s="524">
        <f>'4. Fix Cost (GC)'!H28</f>
        <v>0</v>
      </c>
      <c r="AA129" s="524">
        <f>'4. Fix Cost (GC)'!I28</f>
        <v>0</v>
      </c>
      <c r="AB129" s="524">
        <f>'4. Fix Cost (GC)'!J28</f>
        <v>0</v>
      </c>
      <c r="AC129" s="524">
        <f>'4. Fix Cost (GC)'!K28</f>
        <v>0</v>
      </c>
      <c r="AD129" s="524">
        <f>'4. Fix Cost (GC)'!L28</f>
        <v>0</v>
      </c>
      <c r="AE129" s="524">
        <f>'4. Fix Cost (GC)'!M28</f>
        <v>0</v>
      </c>
      <c r="AF129" s="524">
        <f>'4. Fix Cost (GC)'!N28</f>
        <v>0</v>
      </c>
      <c r="AG129" s="524">
        <f>'4. Fix Cost (GC)'!O28</f>
        <v>0</v>
      </c>
      <c r="AH129" s="524">
        <f>'4. Fix Cost (GC)'!P28</f>
        <v>0</v>
      </c>
      <c r="AI129" s="523"/>
      <c r="AJ129" s="523"/>
      <c r="AK129" s="523"/>
      <c r="AL129" s="523"/>
      <c r="AM129" s="523"/>
      <c r="AN129" s="523"/>
      <c r="AO129" s="439" t="str">
        <f>'4. Fix Cost (GC)'!W28</f>
        <v/>
      </c>
      <c r="AP129" s="439">
        <v>93</v>
      </c>
      <c r="AQ129" s="439" t="str">
        <f>Settings!$A$1</f>
        <v>V2</v>
      </c>
      <c r="AR129" s="849"/>
    </row>
    <row r="130" spans="1:44" ht="12.75" customHeight="1" x14ac:dyDescent="0.25">
      <c r="A130" s="439">
        <f>'Input-FX Rates'!$C$4</f>
        <v>242</v>
      </c>
      <c r="B130" s="439" t="str">
        <f>'Input-FX Rates'!$B$4</f>
        <v>ICH Icheon (242)</v>
      </c>
      <c r="C130" s="439">
        <f>'Input-FX Rates'!$C$6</f>
        <v>750</v>
      </c>
      <c r="D130" s="439" t="str">
        <f>'Input-FX Rates'!$B$6</f>
        <v>750 BU Sensorics &amp; Controls</v>
      </c>
      <c r="E130" s="439" t="str">
        <f>'Input-FX Rates'!$C$5</f>
        <v>7521 &amp; 7522</v>
      </c>
      <c r="F130" s="439" t="str">
        <f>'Input-FX Rates'!$B$5</f>
        <v>7521 &amp; 7522 PL Mechatronic Sensors (&amp; Electrification)</v>
      </c>
      <c r="G130" s="439" t="s">
        <v>1439</v>
      </c>
      <c r="H130" s="439" t="s">
        <v>441</v>
      </c>
      <c r="I130" s="523"/>
      <c r="J130" s="523"/>
      <c r="K130" s="524">
        <f>'4. Fix Cost (GC)'!B29</f>
        <v>-4.9827213106576371</v>
      </c>
      <c r="L130" s="524">
        <f>'4. Fix Cost (GC)'!C29</f>
        <v>-6.8958708783897231</v>
      </c>
      <c r="M130" s="523"/>
      <c r="N130" s="523"/>
      <c r="O130" s="524">
        <f>'4. Fix Cost (GC)'!Q29</f>
        <v>-4.3065572413793118</v>
      </c>
      <c r="P130" s="524">
        <f>'4. Fix Cost (GC)'!R29</f>
        <v>0</v>
      </c>
      <c r="Q130" s="523"/>
      <c r="R130" s="523"/>
      <c r="S130" s="523"/>
      <c r="T130" s="523"/>
      <c r="U130" s="523"/>
      <c r="V130" s="523"/>
      <c r="W130" s="524">
        <f>'4. Fix Cost (GC)'!E29</f>
        <v>-0.3588797701149426</v>
      </c>
      <c r="X130" s="524">
        <f>'4. Fix Cost (GC)'!F29</f>
        <v>-0.3588797701149426</v>
      </c>
      <c r="Y130" s="524">
        <f>'4. Fix Cost (GC)'!G29</f>
        <v>-0.3588797701149426</v>
      </c>
      <c r="Z130" s="524">
        <f>'4. Fix Cost (GC)'!H29</f>
        <v>-0.3588797701149426</v>
      </c>
      <c r="AA130" s="524">
        <f>'4. Fix Cost (GC)'!I29</f>
        <v>-0.3588797701149426</v>
      </c>
      <c r="AB130" s="524">
        <f>'4. Fix Cost (GC)'!J29</f>
        <v>-0.3588797701149426</v>
      </c>
      <c r="AC130" s="524">
        <f>'4. Fix Cost (GC)'!K29</f>
        <v>-0.3588797701149426</v>
      </c>
      <c r="AD130" s="524">
        <f>'4. Fix Cost (GC)'!L29</f>
        <v>-0.3588797701149426</v>
      </c>
      <c r="AE130" s="524">
        <f>'4. Fix Cost (GC)'!M29</f>
        <v>-0.3588797701149426</v>
      </c>
      <c r="AF130" s="524">
        <f>'4. Fix Cost (GC)'!N29</f>
        <v>-0.3588797701149426</v>
      </c>
      <c r="AG130" s="524">
        <f>'4. Fix Cost (GC)'!O29</f>
        <v>-0.3588797701149426</v>
      </c>
      <c r="AH130" s="524">
        <f>'4. Fix Cost (GC)'!P29</f>
        <v>-0.3588797701149426</v>
      </c>
      <c r="AI130" s="523"/>
      <c r="AJ130" s="523"/>
      <c r="AK130" s="523"/>
      <c r="AL130" s="523"/>
      <c r="AM130" s="523"/>
      <c r="AN130" s="523"/>
      <c r="AO130" s="439" t="str">
        <f>'4. Fix Cost (GC)'!W29</f>
        <v/>
      </c>
      <c r="AP130" s="439">
        <v>94</v>
      </c>
      <c r="AQ130" s="439" t="str">
        <f>Settings!$A$1</f>
        <v>V2</v>
      </c>
      <c r="AR130" s="849"/>
    </row>
    <row r="131" spans="1:44" ht="12.75" customHeight="1" x14ac:dyDescent="0.25">
      <c r="A131" s="439">
        <f>'Input-FX Rates'!$C$4</f>
        <v>242</v>
      </c>
      <c r="B131" s="439" t="str">
        <f>'Input-FX Rates'!$B$4</f>
        <v>ICH Icheon (242)</v>
      </c>
      <c r="C131" s="439">
        <f>'Input-FX Rates'!$C$6</f>
        <v>750</v>
      </c>
      <c r="D131" s="439" t="str">
        <f>'Input-FX Rates'!$B$6</f>
        <v>750 BU Sensorics &amp; Controls</v>
      </c>
      <c r="E131" s="439" t="str">
        <f>'Input-FX Rates'!$C$5</f>
        <v>7521 &amp; 7522</v>
      </c>
      <c r="F131" s="439" t="str">
        <f>'Input-FX Rates'!$B$5</f>
        <v>7521 &amp; 7522 PL Mechatronic Sensors (&amp; Electrification)</v>
      </c>
      <c r="G131" s="439" t="s">
        <v>1439</v>
      </c>
      <c r="H131" s="439" t="s">
        <v>473</v>
      </c>
      <c r="I131" s="523"/>
      <c r="J131" s="523"/>
      <c r="K131" s="524">
        <f>'4. Fix Cost (GC)'!B30</f>
        <v>-45.454573748998804</v>
      </c>
      <c r="L131" s="524">
        <f>'4. Fix Cost (GC)'!C30</f>
        <v>-82.775881548056958</v>
      </c>
      <c r="M131" s="523"/>
      <c r="N131" s="523"/>
      <c r="O131" s="524">
        <f>'4. Fix Cost (GC)'!Q30</f>
        <v>-71.530035172413804</v>
      </c>
      <c r="P131" s="524">
        <f>'4. Fix Cost (GC)'!R30</f>
        <v>0</v>
      </c>
      <c r="Q131" s="523"/>
      <c r="R131" s="523"/>
      <c r="S131" s="523"/>
      <c r="T131" s="523"/>
      <c r="U131" s="523"/>
      <c r="V131" s="523"/>
      <c r="W131" s="524">
        <f>'4. Fix Cost (GC)'!E30</f>
        <v>-6.954141149425288</v>
      </c>
      <c r="X131" s="524">
        <f>'4. Fix Cost (GC)'!F30</f>
        <v>-6.3489128735632177</v>
      </c>
      <c r="Y131" s="524">
        <f>'4. Fix Cost (GC)'!G30</f>
        <v>-6.0076749425287366</v>
      </c>
      <c r="Z131" s="524">
        <f>'4. Fix Cost (GC)'!H30</f>
        <v>-5.3524335632183915</v>
      </c>
      <c r="AA131" s="524">
        <f>'4. Fix Cost (GC)'!I30</f>
        <v>-5.7628101149425293</v>
      </c>
      <c r="AB131" s="524">
        <f>'4. Fix Cost (GC)'!J30</f>
        <v>-5.4828997701149431</v>
      </c>
      <c r="AC131" s="524">
        <f>'4. Fix Cost (GC)'!K30</f>
        <v>-6.8750618390804599</v>
      </c>
      <c r="AD131" s="524">
        <f>'4. Fix Cost (GC)'!L30</f>
        <v>-5.859571494252874</v>
      </c>
      <c r="AE131" s="524">
        <f>'4. Fix Cost (GC)'!M30</f>
        <v>-5.9877756321839088</v>
      </c>
      <c r="AF131" s="524">
        <f>'4. Fix Cost (GC)'!N30</f>
        <v>-5.5181652873563216</v>
      </c>
      <c r="AG131" s="524">
        <f>'4. Fix Cost (GC)'!O30</f>
        <v>-5.7298949425287358</v>
      </c>
      <c r="AH131" s="524">
        <f>'4. Fix Cost (GC)'!P30</f>
        <v>-5.6506935632183914</v>
      </c>
      <c r="AI131" s="523"/>
      <c r="AJ131" s="523"/>
      <c r="AK131" s="523"/>
      <c r="AL131" s="523"/>
      <c r="AM131" s="523"/>
      <c r="AN131" s="523"/>
      <c r="AO131" s="439" t="str">
        <f>'4. Fix Cost (GC)'!W30</f>
        <v/>
      </c>
      <c r="AP131" s="439">
        <v>95</v>
      </c>
      <c r="AQ131" s="439" t="str">
        <f>Settings!$A$1</f>
        <v>V2</v>
      </c>
      <c r="AR131" s="849"/>
    </row>
    <row r="132" spans="1:44" ht="12.75" customHeight="1" x14ac:dyDescent="0.25">
      <c r="A132" s="439">
        <f>'Input-FX Rates'!$C$4</f>
        <v>242</v>
      </c>
      <c r="B132" s="439" t="str">
        <f>'Input-FX Rates'!$B$4</f>
        <v>ICH Icheon (242)</v>
      </c>
      <c r="C132" s="439">
        <f>'Input-FX Rates'!$C$6</f>
        <v>750</v>
      </c>
      <c r="D132" s="439" t="str">
        <f>'Input-FX Rates'!$B$6</f>
        <v>750 BU Sensorics &amp; Controls</v>
      </c>
      <c r="E132" s="439" t="str">
        <f>'Input-FX Rates'!$C$5</f>
        <v>7521 &amp; 7522</v>
      </c>
      <c r="F132" s="439" t="str">
        <f>'Input-FX Rates'!$B$5</f>
        <v>7521 &amp; 7522 PL Mechatronic Sensors (&amp; Electrification)</v>
      </c>
      <c r="G132" s="439" t="s">
        <v>1439</v>
      </c>
      <c r="H132" s="439" t="s">
        <v>475</v>
      </c>
      <c r="I132" s="523"/>
      <c r="J132" s="523"/>
      <c r="K132" s="524">
        <f>'4. Fix Cost (GC)'!B31</f>
        <v>-68.698167554766172</v>
      </c>
      <c r="L132" s="524">
        <f>'4. Fix Cost (GC)'!C31</f>
        <v>-144.42384074765067</v>
      </c>
      <c r="M132" s="523"/>
      <c r="N132" s="523"/>
      <c r="O132" s="524">
        <f>'4. Fix Cost (GC)'!Q31</f>
        <v>-170.31334344827584</v>
      </c>
      <c r="P132" s="524">
        <f>'4. Fix Cost (GC)'!R31</f>
        <v>0</v>
      </c>
      <c r="Q132" s="523"/>
      <c r="R132" s="523"/>
      <c r="S132" s="523"/>
      <c r="T132" s="523"/>
      <c r="U132" s="523"/>
      <c r="V132" s="523"/>
      <c r="W132" s="524">
        <f>'4. Fix Cost (GC)'!E31</f>
        <v>-14.192778620689655</v>
      </c>
      <c r="X132" s="524">
        <f>'4. Fix Cost (GC)'!F31</f>
        <v>-14.192778620689655</v>
      </c>
      <c r="Y132" s="524">
        <f>'4. Fix Cost (GC)'!G31</f>
        <v>-14.192778620689655</v>
      </c>
      <c r="Z132" s="524">
        <f>'4. Fix Cost (GC)'!H31</f>
        <v>-14.192778620689655</v>
      </c>
      <c r="AA132" s="524">
        <f>'4. Fix Cost (GC)'!I31</f>
        <v>-14.192778620689655</v>
      </c>
      <c r="AB132" s="524">
        <f>'4. Fix Cost (GC)'!J31</f>
        <v>-14.192778620689655</v>
      </c>
      <c r="AC132" s="524">
        <f>'4. Fix Cost (GC)'!K31</f>
        <v>-14.192778620689655</v>
      </c>
      <c r="AD132" s="524">
        <f>'4. Fix Cost (GC)'!L31</f>
        <v>-14.192778620689655</v>
      </c>
      <c r="AE132" s="524">
        <f>'4. Fix Cost (GC)'!M31</f>
        <v>-14.192778620689655</v>
      </c>
      <c r="AF132" s="524">
        <f>'4. Fix Cost (GC)'!N31</f>
        <v>-14.192778620689655</v>
      </c>
      <c r="AG132" s="524">
        <f>'4. Fix Cost (GC)'!O31</f>
        <v>-14.192778620689655</v>
      </c>
      <c r="AH132" s="524">
        <f>'4. Fix Cost (GC)'!P31</f>
        <v>-14.192778620689655</v>
      </c>
      <c r="AI132" s="523"/>
      <c r="AJ132" s="523"/>
      <c r="AK132" s="523"/>
      <c r="AL132" s="523"/>
      <c r="AM132" s="523"/>
      <c r="AN132" s="523"/>
      <c r="AO132" s="439" t="str">
        <f>'4. Fix Cost (GC)'!W31</f>
        <v/>
      </c>
      <c r="AP132" s="439">
        <v>96</v>
      </c>
      <c r="AQ132" s="439" t="str">
        <f>Settings!$A$1</f>
        <v>V2</v>
      </c>
      <c r="AR132" s="849"/>
    </row>
    <row r="133" spans="1:44" ht="12.75" customHeight="1" x14ac:dyDescent="0.25">
      <c r="A133" s="439">
        <f>'Input-FX Rates'!$C$4</f>
        <v>242</v>
      </c>
      <c r="B133" s="439" t="str">
        <f>'Input-FX Rates'!$B$4</f>
        <v>ICH Icheon (242)</v>
      </c>
      <c r="C133" s="439">
        <f>'Input-FX Rates'!$C$6</f>
        <v>750</v>
      </c>
      <c r="D133" s="439" t="str">
        <f>'Input-FX Rates'!$B$6</f>
        <v>750 BU Sensorics &amp; Controls</v>
      </c>
      <c r="E133" s="439" t="str">
        <f>'Input-FX Rates'!$C$5</f>
        <v>7521 &amp; 7522</v>
      </c>
      <c r="F133" s="439" t="str">
        <f>'Input-FX Rates'!$B$5</f>
        <v>7521 &amp; 7522 PL Mechatronic Sensors (&amp; Electrification)</v>
      </c>
      <c r="G133" s="439" t="s">
        <v>1439</v>
      </c>
      <c r="H133" s="439" t="s">
        <v>477</v>
      </c>
      <c r="I133" s="523"/>
      <c r="J133" s="523"/>
      <c r="K133" s="524">
        <f>'4. Fix Cost (GC)'!B32</f>
        <v>-431.45536249712126</v>
      </c>
      <c r="L133" s="524">
        <f>'4. Fix Cost (GC)'!C32</f>
        <v>-958.59095933351307</v>
      </c>
      <c r="M133" s="523"/>
      <c r="N133" s="523"/>
      <c r="O133" s="524">
        <f>'4. Fix Cost (GC)'!Q32</f>
        <v>-1250.7570951724138</v>
      </c>
      <c r="P133" s="524">
        <f>'4. Fix Cost (GC)'!R32</f>
        <v>0</v>
      </c>
      <c r="Q133" s="523"/>
      <c r="R133" s="523"/>
      <c r="S133" s="523"/>
      <c r="T133" s="523"/>
      <c r="U133" s="523"/>
      <c r="V133" s="523"/>
      <c r="W133" s="524">
        <f>'4. Fix Cost (GC)'!E32</f>
        <v>-104.22975793103448</v>
      </c>
      <c r="X133" s="524">
        <f>'4. Fix Cost (GC)'!F32</f>
        <v>-104.22975793103448</v>
      </c>
      <c r="Y133" s="524">
        <f>'4. Fix Cost (GC)'!G32</f>
        <v>-104.22975793103448</v>
      </c>
      <c r="Z133" s="524">
        <f>'4. Fix Cost (GC)'!H32</f>
        <v>-104.22975793103448</v>
      </c>
      <c r="AA133" s="524">
        <f>'4. Fix Cost (GC)'!I32</f>
        <v>-104.22975793103448</v>
      </c>
      <c r="AB133" s="524">
        <f>'4. Fix Cost (GC)'!J32</f>
        <v>-104.22975793103448</v>
      </c>
      <c r="AC133" s="524">
        <f>'4. Fix Cost (GC)'!K32</f>
        <v>-104.22975793103448</v>
      </c>
      <c r="AD133" s="524">
        <f>'4. Fix Cost (GC)'!L32</f>
        <v>-104.22975793103448</v>
      </c>
      <c r="AE133" s="524">
        <f>'4. Fix Cost (GC)'!M32</f>
        <v>-104.22975793103448</v>
      </c>
      <c r="AF133" s="524">
        <f>'4. Fix Cost (GC)'!N32</f>
        <v>-104.22975793103448</v>
      </c>
      <c r="AG133" s="524">
        <f>'4. Fix Cost (GC)'!O32</f>
        <v>-104.22975793103448</v>
      </c>
      <c r="AH133" s="524">
        <f>'4. Fix Cost (GC)'!P32</f>
        <v>-104.22975793103448</v>
      </c>
      <c r="AI133" s="523"/>
      <c r="AJ133" s="523"/>
      <c r="AK133" s="523"/>
      <c r="AL133" s="523"/>
      <c r="AM133" s="523"/>
      <c r="AN133" s="523"/>
      <c r="AO133" s="439" t="str">
        <f>'4. Fix Cost (GC)'!W32</f>
        <v/>
      </c>
      <c r="AP133" s="439">
        <v>97</v>
      </c>
      <c r="AQ133" s="439" t="str">
        <f>Settings!$A$1</f>
        <v>V2</v>
      </c>
      <c r="AR133" s="849"/>
    </row>
    <row r="134" spans="1:44" ht="12.75" customHeight="1" x14ac:dyDescent="0.25">
      <c r="A134" s="439">
        <f>'Input-FX Rates'!$C$4</f>
        <v>242</v>
      </c>
      <c r="B134" s="439" t="str">
        <f>'Input-FX Rates'!$B$4</f>
        <v>ICH Icheon (242)</v>
      </c>
      <c r="C134" s="439">
        <f>'Input-FX Rates'!$C$6</f>
        <v>750</v>
      </c>
      <c r="D134" s="439" t="str">
        <f>'Input-FX Rates'!$B$6</f>
        <v>750 BU Sensorics &amp; Controls</v>
      </c>
      <c r="E134" s="439" t="str">
        <f>'Input-FX Rates'!$C$5</f>
        <v>7521 &amp; 7522</v>
      </c>
      <c r="F134" s="439" t="str">
        <f>'Input-FX Rates'!$B$5</f>
        <v>7521 &amp; 7522 PL Mechatronic Sensors (&amp; Electrification)</v>
      </c>
      <c r="G134" s="439" t="s">
        <v>1439</v>
      </c>
      <c r="H134" s="439" t="s">
        <v>479</v>
      </c>
      <c r="I134" s="523"/>
      <c r="J134" s="523"/>
      <c r="K134" s="524">
        <f>'4. Fix Cost (GC)'!B33</f>
        <v>-127.90494944086844</v>
      </c>
      <c r="L134" s="524">
        <f>'4. Fix Cost (GC)'!C33</f>
        <v>-260.58384925215228</v>
      </c>
      <c r="M134" s="523"/>
      <c r="N134" s="523"/>
      <c r="O134" s="524">
        <f>'4. Fix Cost (GC)'!Q33</f>
        <v>-325.99391448275861</v>
      </c>
      <c r="P134" s="524">
        <f>'4. Fix Cost (GC)'!R33</f>
        <v>0</v>
      </c>
      <c r="Q134" s="523"/>
      <c r="R134" s="523"/>
      <c r="S134" s="523"/>
      <c r="T134" s="523"/>
      <c r="U134" s="523"/>
      <c r="V134" s="523"/>
      <c r="W134" s="524">
        <f>'4. Fix Cost (GC)'!E33</f>
        <v>-27.166159540229884</v>
      </c>
      <c r="X134" s="524">
        <f>'4. Fix Cost (GC)'!F33</f>
        <v>-27.166159540229884</v>
      </c>
      <c r="Y134" s="524">
        <f>'4. Fix Cost (GC)'!G33</f>
        <v>-27.166159540229884</v>
      </c>
      <c r="Z134" s="524">
        <f>'4. Fix Cost (GC)'!H33</f>
        <v>-27.166159540229884</v>
      </c>
      <c r="AA134" s="524">
        <f>'4. Fix Cost (GC)'!I33</f>
        <v>-27.166159540229884</v>
      </c>
      <c r="AB134" s="524">
        <f>'4. Fix Cost (GC)'!J33</f>
        <v>-27.166159540229884</v>
      </c>
      <c r="AC134" s="524">
        <f>'4. Fix Cost (GC)'!K33</f>
        <v>-27.166159540229884</v>
      </c>
      <c r="AD134" s="524">
        <f>'4. Fix Cost (GC)'!L33</f>
        <v>-27.166159540229884</v>
      </c>
      <c r="AE134" s="524">
        <f>'4. Fix Cost (GC)'!M33</f>
        <v>-27.166159540229884</v>
      </c>
      <c r="AF134" s="524">
        <f>'4. Fix Cost (GC)'!N33</f>
        <v>-27.166159540229884</v>
      </c>
      <c r="AG134" s="524">
        <f>'4. Fix Cost (GC)'!O33</f>
        <v>-27.166159540229884</v>
      </c>
      <c r="AH134" s="524">
        <f>'4. Fix Cost (GC)'!P33</f>
        <v>-27.166159540229884</v>
      </c>
      <c r="AI134" s="523"/>
      <c r="AJ134" s="523"/>
      <c r="AK134" s="523"/>
      <c r="AL134" s="523"/>
      <c r="AM134" s="523"/>
      <c r="AN134" s="523"/>
      <c r="AO134" s="439" t="str">
        <f>'4. Fix Cost (GC)'!W33</f>
        <v/>
      </c>
      <c r="AP134" s="439">
        <v>98</v>
      </c>
      <c r="AQ134" s="439" t="str">
        <f>Settings!$A$1</f>
        <v>V2</v>
      </c>
      <c r="AR134" s="849"/>
    </row>
    <row r="135" spans="1:44" ht="12.75" customHeight="1" x14ac:dyDescent="0.25">
      <c r="A135" s="439">
        <f>'Input-FX Rates'!$C$4</f>
        <v>242</v>
      </c>
      <c r="B135" s="439" t="str">
        <f>'Input-FX Rates'!$B$4</f>
        <v>ICH Icheon (242)</v>
      </c>
      <c r="C135" s="439">
        <f>'Input-FX Rates'!$C$6</f>
        <v>750</v>
      </c>
      <c r="D135" s="439" t="str">
        <f>'Input-FX Rates'!$B$6</f>
        <v>750 BU Sensorics &amp; Controls</v>
      </c>
      <c r="E135" s="439" t="str">
        <f>'Input-FX Rates'!$C$5</f>
        <v>7521 &amp; 7522</v>
      </c>
      <c r="F135" s="439" t="str">
        <f>'Input-FX Rates'!$B$5</f>
        <v>7521 &amp; 7522 PL Mechatronic Sensors (&amp; Electrification)</v>
      </c>
      <c r="G135" s="439" t="s">
        <v>1439</v>
      </c>
      <c r="H135" s="439" t="s">
        <v>481</v>
      </c>
      <c r="I135" s="523"/>
      <c r="J135" s="523"/>
      <c r="K135" s="524">
        <f>'4. Fix Cost (GC)'!B34</f>
        <v>-1357.0034489991162</v>
      </c>
      <c r="L135" s="524">
        <f>'4. Fix Cost (GC)'!C34</f>
        <v>-2824.9121505701432</v>
      </c>
      <c r="M135" s="523"/>
      <c r="N135" s="523"/>
      <c r="O135" s="524">
        <f>'4. Fix Cost (GC)'!Q34</f>
        <v>-3616.7824379310341</v>
      </c>
      <c r="P135" s="524">
        <f>'4. Fix Cost (GC)'!R34</f>
        <v>-630</v>
      </c>
      <c r="Q135" s="523"/>
      <c r="R135" s="523"/>
      <c r="S135" s="523"/>
      <c r="T135" s="523"/>
      <c r="U135" s="523"/>
      <c r="V135" s="523"/>
      <c r="W135" s="524">
        <f>'4. Fix Cost (GC)'!E34</f>
        <v>-305.14219931034478</v>
      </c>
      <c r="X135" s="524">
        <f>'4. Fix Cost (GC)'!F34</f>
        <v>-305.49162896551724</v>
      </c>
      <c r="Y135" s="524">
        <f>'4. Fix Cost (GC)'!G34</f>
        <v>-300.86820689655173</v>
      </c>
      <c r="Z135" s="524">
        <f>'4. Fix Cost (GC)'!H34</f>
        <v>-293.10793310344826</v>
      </c>
      <c r="AA135" s="524">
        <f>'4. Fix Cost (GC)'!I34</f>
        <v>-297.71429655172415</v>
      </c>
      <c r="AB135" s="524">
        <f>'4. Fix Cost (GC)'!J34</f>
        <v>-295.60037655172414</v>
      </c>
      <c r="AC135" s="524">
        <f>'4. Fix Cost (GC)'!K34</f>
        <v>-311.06197241379311</v>
      </c>
      <c r="AD135" s="524">
        <f>'4. Fix Cost (GC)'!L34</f>
        <v>-304.60428413793102</v>
      </c>
      <c r="AE135" s="524">
        <f>'4. Fix Cost (GC)'!M34</f>
        <v>-303.85492758620688</v>
      </c>
      <c r="AF135" s="524">
        <f>'4. Fix Cost (GC)'!N34</f>
        <v>-299.65264275862069</v>
      </c>
      <c r="AG135" s="524">
        <f>'4. Fix Cost (GC)'!O34</f>
        <v>-300.20661448275865</v>
      </c>
      <c r="AH135" s="524">
        <f>'4. Fix Cost (GC)'!P34</f>
        <v>-299.47735517241375</v>
      </c>
      <c r="AI135" s="523"/>
      <c r="AJ135" s="523"/>
      <c r="AK135" s="523"/>
      <c r="AL135" s="523"/>
      <c r="AM135" s="523"/>
      <c r="AN135" s="523"/>
      <c r="AO135" s="439" t="str">
        <f>'4. Fix Cost (GC)'!W34</f>
        <v/>
      </c>
      <c r="AP135" s="439">
        <v>99</v>
      </c>
      <c r="AQ135" s="439" t="str">
        <f>Settings!$A$1</f>
        <v>V2</v>
      </c>
      <c r="AR135" s="849"/>
    </row>
    <row r="136" spans="1:44" ht="12.75" customHeight="1" x14ac:dyDescent="0.25">
      <c r="A136" s="439">
        <f>'Input-FX Rates'!$C$4</f>
        <v>242</v>
      </c>
      <c r="B136" s="439" t="str">
        <f>'Input-FX Rates'!$B$4</f>
        <v>ICH Icheon (242)</v>
      </c>
      <c r="C136" s="439">
        <f>'Input-FX Rates'!$C$6</f>
        <v>750</v>
      </c>
      <c r="D136" s="439" t="str">
        <f>'Input-FX Rates'!$B$6</f>
        <v>750 BU Sensorics &amp; Controls</v>
      </c>
      <c r="E136" s="439" t="str">
        <f>'Input-FX Rates'!$C$5</f>
        <v>7521 &amp; 7522</v>
      </c>
      <c r="F136" s="439" t="str">
        <f>'Input-FX Rates'!$B$5</f>
        <v>7521 &amp; 7522 PL Mechatronic Sensors (&amp; Electrification)</v>
      </c>
      <c r="G136" s="439" t="s">
        <v>1439</v>
      </c>
      <c r="H136" s="439" t="s">
        <v>483</v>
      </c>
      <c r="I136" s="523"/>
      <c r="J136" s="523"/>
      <c r="K136" s="524">
        <f>'4. Fix Cost (GC)'!B36</f>
        <v>-379.41553501432179</v>
      </c>
      <c r="L136" s="524">
        <f>'4. Fix Cost (GC)'!C36</f>
        <v>-664.27062151068117</v>
      </c>
      <c r="M136" s="523"/>
      <c r="N136" s="523"/>
      <c r="O136" s="524">
        <f>'4. Fix Cost (GC)'!Q36</f>
        <v>-744.19663931034495</v>
      </c>
      <c r="P136" s="524">
        <f>'4. Fix Cost (GC)'!R36</f>
        <v>-630</v>
      </c>
      <c r="Q136" s="523"/>
      <c r="R136" s="523"/>
      <c r="S136" s="523"/>
      <c r="T136" s="523"/>
      <c r="U136" s="523"/>
      <c r="V136" s="523"/>
      <c r="W136" s="524">
        <f>'4. Fix Cost (GC)'!E36</f>
        <v>-64.551859310344824</v>
      </c>
      <c r="X136" s="524">
        <f>'4. Fix Cost (GC)'!F36</f>
        <v>-65.506517241379314</v>
      </c>
      <c r="Y136" s="524">
        <f>'4. Fix Cost (GC)'!G36</f>
        <v>-61.510311724137921</v>
      </c>
      <c r="Z136" s="524">
        <f>'4. Fix Cost (GC)'!H36</f>
        <v>-54.119300689655162</v>
      </c>
      <c r="AA136" s="524">
        <f>'4. Fix Cost (GC)'!I36</f>
        <v>-58.029308965517238</v>
      </c>
      <c r="AB136" s="524">
        <f>'4. Fix Cost (GC)'!J36</f>
        <v>-57.053235862068959</v>
      </c>
      <c r="AC136" s="524">
        <f>'4. Fix Cost (GC)'!K36</f>
        <v>-70.264733103448279</v>
      </c>
      <c r="AD136" s="524">
        <f>'4. Fix Cost (GC)'!L36</f>
        <v>-65.109044137931022</v>
      </c>
      <c r="AE136" s="524">
        <f>'4. Fix Cost (GC)'!M36</f>
        <v>-65.375938620689652</v>
      </c>
      <c r="AF136" s="524">
        <f>'4. Fix Cost (GC)'!N36</f>
        <v>-60.213370344827588</v>
      </c>
      <c r="AG136" s="524">
        <f>'4. Fix Cost (GC)'!O36</f>
        <v>-60.841591034482747</v>
      </c>
      <c r="AH136" s="524">
        <f>'4. Fix Cost (GC)'!P36</f>
        <v>-61.621428275862066</v>
      </c>
      <c r="AI136" s="523"/>
      <c r="AJ136" s="523"/>
      <c r="AK136" s="523"/>
      <c r="AL136" s="523"/>
      <c r="AM136" s="523"/>
      <c r="AN136" s="523"/>
      <c r="AO136" s="439" t="str">
        <f>'4. Fix Cost (GC)'!W36</f>
        <v/>
      </c>
      <c r="AP136" s="439">
        <v>100</v>
      </c>
      <c r="AQ136" s="439" t="str">
        <f>Settings!$A$1</f>
        <v>V2</v>
      </c>
      <c r="AR136" s="849"/>
    </row>
    <row r="137" spans="1:44" ht="12.75" customHeight="1" x14ac:dyDescent="0.25">
      <c r="A137" s="439">
        <f>'Input-FX Rates'!$C$4</f>
        <v>242</v>
      </c>
      <c r="B137" s="439" t="str">
        <f>'Input-FX Rates'!$B$4</f>
        <v>ICH Icheon (242)</v>
      </c>
      <c r="C137" s="439">
        <f>'Input-FX Rates'!$C$6</f>
        <v>750</v>
      </c>
      <c r="D137" s="439" t="str">
        <f>'Input-FX Rates'!$B$6</f>
        <v>750 BU Sensorics &amp; Controls</v>
      </c>
      <c r="E137" s="439" t="str">
        <f>'Input-FX Rates'!$C$5</f>
        <v>7521 &amp; 7522</v>
      </c>
      <c r="F137" s="439" t="str">
        <f>'Input-FX Rates'!$B$5</f>
        <v>7521 &amp; 7522 PL Mechatronic Sensors (&amp; Electrification)</v>
      </c>
      <c r="G137" s="439" t="s">
        <v>1439</v>
      </c>
      <c r="H137" s="439" t="s">
        <v>485</v>
      </c>
      <c r="I137" s="523"/>
      <c r="J137" s="523"/>
      <c r="K137" s="524">
        <f>'4. Fix Cost (GC)'!B38</f>
        <v>-205.51669105443045</v>
      </c>
      <c r="L137" s="524">
        <f>'4. Fix Cost (GC)'!C38</f>
        <v>-501.38811823611042</v>
      </c>
      <c r="M137" s="523"/>
      <c r="N137" s="523"/>
      <c r="O137" s="524">
        <f>'4. Fix Cost (GC)'!Q38</f>
        <v>-924.5828193103448</v>
      </c>
      <c r="P137" s="524">
        <f>'4. Fix Cost (GC)'!R38</f>
        <v>0</v>
      </c>
      <c r="Q137" s="523"/>
      <c r="R137" s="523"/>
      <c r="S137" s="523"/>
      <c r="T137" s="523"/>
      <c r="U137" s="523"/>
      <c r="V137" s="523"/>
      <c r="W137" s="524">
        <f>'4. Fix Cost (GC)'!E38</f>
        <v>-77.048568275862067</v>
      </c>
      <c r="X137" s="524">
        <f>'4. Fix Cost (GC)'!F38</f>
        <v>-77.048568275862067</v>
      </c>
      <c r="Y137" s="524">
        <f>'4. Fix Cost (GC)'!G38</f>
        <v>-77.048568275862067</v>
      </c>
      <c r="Z137" s="524">
        <f>'4. Fix Cost (GC)'!H38</f>
        <v>-77.048568275862067</v>
      </c>
      <c r="AA137" s="524">
        <f>'4. Fix Cost (GC)'!I38</f>
        <v>-77.048568275862067</v>
      </c>
      <c r="AB137" s="524">
        <f>'4. Fix Cost (GC)'!J38</f>
        <v>-77.048568275862067</v>
      </c>
      <c r="AC137" s="524">
        <f>'4. Fix Cost (GC)'!K38</f>
        <v>-77.048568275862067</v>
      </c>
      <c r="AD137" s="524">
        <f>'4. Fix Cost (GC)'!L38</f>
        <v>-77.048568275862067</v>
      </c>
      <c r="AE137" s="524">
        <f>'4. Fix Cost (GC)'!M38</f>
        <v>-77.048568275862067</v>
      </c>
      <c r="AF137" s="524">
        <f>'4. Fix Cost (GC)'!N38</f>
        <v>-77.048568275862067</v>
      </c>
      <c r="AG137" s="524">
        <f>'4. Fix Cost (GC)'!O38</f>
        <v>-77.048568275862067</v>
      </c>
      <c r="AH137" s="524">
        <f>'4. Fix Cost (GC)'!P38</f>
        <v>-77.048568275862067</v>
      </c>
      <c r="AI137" s="523"/>
      <c r="AJ137" s="523"/>
      <c r="AK137" s="523"/>
      <c r="AL137" s="523"/>
      <c r="AM137" s="523"/>
      <c r="AN137" s="523"/>
      <c r="AO137" s="439" t="str">
        <f>'4. Fix Cost (GC)'!W38</f>
        <v/>
      </c>
      <c r="AP137" s="439">
        <v>101</v>
      </c>
      <c r="AQ137" s="439" t="str">
        <f>Settings!$A$1</f>
        <v>V2</v>
      </c>
      <c r="AR137" s="849"/>
    </row>
    <row r="138" spans="1:44" ht="12.75" customHeight="1" x14ac:dyDescent="0.25">
      <c r="A138" s="439">
        <f>'Input-FX Rates'!$C$4</f>
        <v>242</v>
      </c>
      <c r="B138" s="439" t="str">
        <f>'Input-FX Rates'!$B$4</f>
        <v>ICH Icheon (242)</v>
      </c>
      <c r="C138" s="439">
        <f>'Input-FX Rates'!$C$6</f>
        <v>750</v>
      </c>
      <c r="D138" s="439" t="str">
        <f>'Input-FX Rates'!$B$6</f>
        <v>750 BU Sensorics &amp; Controls</v>
      </c>
      <c r="E138" s="439" t="str">
        <f>'Input-FX Rates'!$C$5</f>
        <v>7521 &amp; 7522</v>
      </c>
      <c r="F138" s="439" t="str">
        <f>'Input-FX Rates'!$B$5</f>
        <v>7521 &amp; 7522 PL Mechatronic Sensors (&amp; Electrification)</v>
      </c>
      <c r="G138" s="439" t="s">
        <v>1439</v>
      </c>
      <c r="H138" s="439" t="s">
        <v>459</v>
      </c>
      <c r="I138" s="523"/>
      <c r="J138" s="523"/>
      <c r="K138" s="524">
        <f>'4. Fix Cost (GC)'!B40</f>
        <v>-584.93222606875224</v>
      </c>
      <c r="L138" s="524">
        <f>'4. Fix Cost (GC)'!C40</f>
        <v>-1165.6587397467918</v>
      </c>
      <c r="M138" s="523"/>
      <c r="N138" s="523"/>
      <c r="O138" s="524">
        <f>'4. Fix Cost (GC)'!Q40</f>
        <v>-1668.7794586206896</v>
      </c>
      <c r="P138" s="524">
        <f>'4. Fix Cost (GC)'!R40</f>
        <v>-630</v>
      </c>
      <c r="Q138" s="523"/>
      <c r="R138" s="523"/>
      <c r="S138" s="523"/>
      <c r="T138" s="523"/>
      <c r="U138" s="523"/>
      <c r="V138" s="523"/>
      <c r="W138" s="524">
        <f>'4. Fix Cost (GC)'!E40</f>
        <v>-141.60042758620691</v>
      </c>
      <c r="X138" s="524">
        <f>'4. Fix Cost (GC)'!F40</f>
        <v>-142.55508551724139</v>
      </c>
      <c r="Y138" s="524">
        <f>'4. Fix Cost (GC)'!G40</f>
        <v>-138.55887999999999</v>
      </c>
      <c r="Z138" s="524">
        <f>'4. Fix Cost (GC)'!H40</f>
        <v>-131.16786896551721</v>
      </c>
      <c r="AA138" s="524">
        <f>'4. Fix Cost (GC)'!I40</f>
        <v>-135.0778772413793</v>
      </c>
      <c r="AB138" s="524">
        <f>'4. Fix Cost (GC)'!J40</f>
        <v>-134.10180413793103</v>
      </c>
      <c r="AC138" s="524">
        <f>'4. Fix Cost (GC)'!K40</f>
        <v>-147.31330137931036</v>
      </c>
      <c r="AD138" s="524">
        <f>'4. Fix Cost (GC)'!L40</f>
        <v>-142.15761241379312</v>
      </c>
      <c r="AE138" s="524">
        <f>'4. Fix Cost (GC)'!M40</f>
        <v>-142.42450689655172</v>
      </c>
      <c r="AF138" s="524">
        <f>'4. Fix Cost (GC)'!N40</f>
        <v>-137.26193862068965</v>
      </c>
      <c r="AG138" s="524">
        <f>'4. Fix Cost (GC)'!O40</f>
        <v>-137.89015931034481</v>
      </c>
      <c r="AH138" s="524">
        <f>'4. Fix Cost (GC)'!P40</f>
        <v>-138.66999655172413</v>
      </c>
      <c r="AI138" s="523"/>
      <c r="AJ138" s="523"/>
      <c r="AK138" s="523"/>
      <c r="AL138" s="523"/>
      <c r="AM138" s="523"/>
      <c r="AN138" s="523"/>
      <c r="AO138" s="439" t="str">
        <f>'4. Fix Cost (GC)'!W40</f>
        <v/>
      </c>
      <c r="AP138" s="439">
        <v>102</v>
      </c>
      <c r="AQ138" s="439" t="str">
        <f>Settings!$A$1</f>
        <v>V2</v>
      </c>
      <c r="AR138" s="849"/>
    </row>
    <row r="139" spans="1:44" s="525" customFormat="1" ht="12.75" customHeight="1" x14ac:dyDescent="0.25">
      <c r="A139" s="525">
        <f>'Input-FX Rates'!$C$4</f>
        <v>242</v>
      </c>
      <c r="B139" s="525" t="str">
        <f>'Input-FX Rates'!$B$4</f>
        <v>ICH Icheon (242)</v>
      </c>
      <c r="C139" s="525">
        <f>'Input-FX Rates'!$C$6</f>
        <v>750</v>
      </c>
      <c r="D139" s="525" t="str">
        <f>'Input-FX Rates'!$B$6</f>
        <v>750 BU Sensorics &amp; Controls</v>
      </c>
      <c r="E139" s="525" t="str">
        <f>'Input-FX Rates'!$C$5</f>
        <v>7521 &amp; 7522</v>
      </c>
      <c r="F139" s="525" t="str">
        <f>'Input-FX Rates'!$B$5</f>
        <v>7521 &amp; 7522 PL Mechatronic Sensors (&amp; Electrification)</v>
      </c>
      <c r="G139" s="525" t="s">
        <v>1439</v>
      </c>
      <c r="H139" s="525" t="s">
        <v>486</v>
      </c>
      <c r="I139" s="526"/>
      <c r="J139" s="526"/>
      <c r="K139" s="527">
        <f>'4. Fix Cost (GC)'!B42</f>
        <v>-255.5801088534086</v>
      </c>
      <c r="L139" s="527">
        <f>'4. Fix Cost (GC)'!C42</f>
        <v>-509.2740700883607</v>
      </c>
      <c r="M139" s="526"/>
      <c r="N139" s="526"/>
      <c r="O139" s="527">
        <f>'4. Fix Cost (GC)'!Q42</f>
        <v>-537.31583103448281</v>
      </c>
      <c r="P139" s="527">
        <f>'4. Fix Cost (GC)'!R42</f>
        <v>-630</v>
      </c>
      <c r="Q139" s="526"/>
      <c r="R139" s="526"/>
      <c r="S139" s="526"/>
      <c r="T139" s="526"/>
      <c r="U139" s="526"/>
      <c r="V139" s="526"/>
      <c r="W139" s="527">
        <f>'4. Fix Cost (GC)'!E42</f>
        <v>-43.301160000000003</v>
      </c>
      <c r="X139" s="527">
        <f>'4. Fix Cost (GC)'!F42</f>
        <v>-42.421270344827583</v>
      </c>
      <c r="Y139" s="527">
        <f>'4. Fix Cost (GC)'!G42</f>
        <v>-42.522563448275861</v>
      </c>
      <c r="Z139" s="527">
        <f>'4. Fix Cost (GC)'!H42</f>
        <v>-39.317746896551725</v>
      </c>
      <c r="AA139" s="527">
        <f>'4. Fix Cost (GC)'!I42</f>
        <v>-41.612868965517244</v>
      </c>
      <c r="AB139" s="527">
        <f>'4. Fix Cost (GC)'!J42</f>
        <v>-42.179478620689657</v>
      </c>
      <c r="AC139" s="527">
        <f>'4. Fix Cost (GC)'!K42</f>
        <v>-53.559519999999999</v>
      </c>
      <c r="AD139" s="527">
        <f>'4. Fix Cost (GC)'!L42</f>
        <v>-50.7746324137931</v>
      </c>
      <c r="AE139" s="527">
        <f>'4. Fix Cost (GC)'!M42</f>
        <v>-45.391024827586207</v>
      </c>
      <c r="AF139" s="527">
        <f>'4. Fix Cost (GC)'!N42</f>
        <v>-45.160847586206899</v>
      </c>
      <c r="AG139" s="527">
        <f>'4. Fix Cost (GC)'!O42</f>
        <v>-44.52970344827586</v>
      </c>
      <c r="AH139" s="527">
        <f>'4. Fix Cost (GC)'!P42</f>
        <v>-46.545014482758624</v>
      </c>
      <c r="AI139" s="526"/>
      <c r="AJ139" s="526"/>
      <c r="AK139" s="526"/>
      <c r="AL139" s="526"/>
      <c r="AM139" s="526"/>
      <c r="AN139" s="526"/>
      <c r="AO139" s="525" t="str">
        <f>'4. Fix Cost (GC)'!W42</f>
        <v/>
      </c>
      <c r="AP139" s="525">
        <v>103</v>
      </c>
      <c r="AQ139" s="525" t="str">
        <f>Settings!$A$1</f>
        <v>V2</v>
      </c>
      <c r="AR139" s="850"/>
    </row>
    <row r="140" spans="1:44" ht="12.75" customHeight="1" x14ac:dyDescent="0.2">
      <c r="A140" s="439">
        <f>'Input-FX Rates'!$C$4</f>
        <v>242</v>
      </c>
      <c r="B140" s="439" t="str">
        <f>'Input-FX Rates'!$B$4</f>
        <v>ICH Icheon (242)</v>
      </c>
      <c r="C140" s="439">
        <f>'Input-FX Rates'!$C$6</f>
        <v>750</v>
      </c>
      <c r="D140" s="439" t="str">
        <f>'Input-FX Rates'!$B$6</f>
        <v>750 BU Sensorics &amp; Controls</v>
      </c>
      <c r="E140" s="439" t="str">
        <f>'Input-FX Rates'!$C$5</f>
        <v>7521 &amp; 7522</v>
      </c>
      <c r="F140" s="439" t="str">
        <f>'Input-FX Rates'!$B$5</f>
        <v>7521 &amp; 7522 PL Mechatronic Sensors (&amp; Electrification)</v>
      </c>
      <c r="G140" s="439" t="s">
        <v>1440</v>
      </c>
      <c r="H140" s="439" t="s">
        <v>195</v>
      </c>
      <c r="I140" s="523"/>
      <c r="J140" s="523"/>
      <c r="K140" s="524">
        <f>'5.  Logistic Cost (GC)'!B6</f>
        <v>7249.997525078973</v>
      </c>
      <c r="L140" s="524">
        <f>'5.  Logistic Cost (GC)'!C6</f>
        <v>15111.540802308424</v>
      </c>
      <c r="M140" s="524">
        <f>'5.  Logistic Cost (GC)'!D6</f>
        <v>0</v>
      </c>
      <c r="N140" s="524">
        <f>'5.  Logistic Cost (GC)'!E6</f>
        <v>15111.540802308424</v>
      </c>
      <c r="O140" s="524">
        <f>'5.  Logistic Cost (GC)'!M6</f>
        <v>14187.261937931033</v>
      </c>
      <c r="P140" s="524">
        <f>'5.  Logistic Cost (GC)'!L6</f>
        <v>0</v>
      </c>
      <c r="Q140" s="524">
        <f>'5.  Logistic Cost (GC)'!F6</f>
        <v>-734.89605687517962</v>
      </c>
      <c r="R140" s="524">
        <f>'5.  Logistic Cost (GC)'!G6</f>
        <v>0</v>
      </c>
      <c r="S140" s="524">
        <f>'5.  Logistic Cost (GC)'!H6</f>
        <v>-618.2385282681139</v>
      </c>
      <c r="T140" s="524">
        <f>'5.  Logistic Cost (GC)'!I6</f>
        <v>0</v>
      </c>
      <c r="U140" s="524">
        <f>'5.  Logistic Cost (GC)'!J6</f>
        <v>897.01934866213958</v>
      </c>
      <c r="V140" s="524">
        <f>'5.  Logistic Cost (GC)'!K6</f>
        <v>-468.16362789623599</v>
      </c>
      <c r="W140" s="523"/>
      <c r="X140" s="523"/>
      <c r="Y140" s="523"/>
      <c r="Z140" s="523"/>
      <c r="AA140" s="523"/>
      <c r="AB140" s="523"/>
      <c r="AC140" s="523"/>
      <c r="AD140" s="523"/>
      <c r="AE140" s="523"/>
      <c r="AF140" s="523"/>
      <c r="AG140" s="523"/>
      <c r="AH140" s="523"/>
      <c r="AI140" s="523"/>
      <c r="AJ140" s="523"/>
      <c r="AK140" s="523"/>
      <c r="AL140" s="523"/>
      <c r="AM140" s="523"/>
      <c r="AN140" s="523"/>
      <c r="AO140" s="439" t="str">
        <f>'5.  Logistic Cost (GC)'!O6</f>
        <v/>
      </c>
      <c r="AP140" s="439">
        <v>104</v>
      </c>
      <c r="AQ140" s="439" t="str">
        <f>Settings!$A$1</f>
        <v>V2</v>
      </c>
    </row>
    <row r="141" spans="1:44" ht="12.75" customHeight="1" x14ac:dyDescent="0.2">
      <c r="A141" s="439">
        <f>'Input-FX Rates'!$C$4</f>
        <v>242</v>
      </c>
      <c r="B141" s="439" t="str">
        <f>'Input-FX Rates'!$B$4</f>
        <v>ICH Icheon (242)</v>
      </c>
      <c r="C141" s="439">
        <f>'Input-FX Rates'!$C$6</f>
        <v>750</v>
      </c>
      <c r="D141" s="439" t="str">
        <f>'Input-FX Rates'!$B$6</f>
        <v>750 BU Sensorics &amp; Controls</v>
      </c>
      <c r="E141" s="439" t="str">
        <f>'Input-FX Rates'!$C$5</f>
        <v>7521 &amp; 7522</v>
      </c>
      <c r="F141" s="439" t="str">
        <f>'Input-FX Rates'!$B$5</f>
        <v>7521 &amp; 7522 PL Mechatronic Sensors (&amp; Electrification)</v>
      </c>
      <c r="G141" s="439" t="s">
        <v>1440</v>
      </c>
      <c r="H141" s="439" t="s">
        <v>497</v>
      </c>
      <c r="I141" s="523"/>
      <c r="J141" s="523"/>
      <c r="K141" s="524">
        <f>'5.  Logistic Cost (GC)'!B7</f>
        <v>7023.4249454821365</v>
      </c>
      <c r="L141" s="524">
        <f>'5.  Logistic Cost (GC)'!C7</f>
        <v>13650.591395693606</v>
      </c>
      <c r="M141" s="524">
        <f>'5.  Logistic Cost (GC)'!D7</f>
        <v>0</v>
      </c>
      <c r="N141" s="524">
        <f>'5.  Logistic Cost (GC)'!E7</f>
        <v>13650.591395693606</v>
      </c>
      <c r="O141" s="524">
        <f>'5.  Logistic Cost (GC)'!M7</f>
        <v>12902.888349999999</v>
      </c>
      <c r="P141" s="524">
        <f>'5.  Logistic Cost (GC)'!L7</f>
        <v>0</v>
      </c>
      <c r="Q141" s="524">
        <f>'5.  Logistic Cost (GC)'!F7</f>
        <v>0</v>
      </c>
      <c r="R141" s="524">
        <f>'5.  Logistic Cost (GC)'!G7</f>
        <v>0</v>
      </c>
      <c r="S141" s="524">
        <f>'5.  Logistic Cost (GC)'!H7</f>
        <v>0</v>
      </c>
      <c r="T141" s="524">
        <f>'5.  Logistic Cost (GC)'!I7</f>
        <v>0</v>
      </c>
      <c r="U141" s="524">
        <f>'5.  Logistic Cost (GC)'!J7</f>
        <v>0</v>
      </c>
      <c r="V141" s="524">
        <f>'5.  Logistic Cost (GC)'!K7</f>
        <v>-425.78074942887724</v>
      </c>
      <c r="W141" s="523"/>
      <c r="X141" s="523"/>
      <c r="Y141" s="523"/>
      <c r="Z141" s="523"/>
      <c r="AA141" s="523"/>
      <c r="AB141" s="523"/>
      <c r="AC141" s="523"/>
      <c r="AD141" s="523"/>
      <c r="AE141" s="523"/>
      <c r="AF141" s="523"/>
      <c r="AG141" s="523"/>
      <c r="AH141" s="523"/>
      <c r="AI141" s="523"/>
      <c r="AJ141" s="523"/>
      <c r="AK141" s="523"/>
      <c r="AL141" s="523"/>
      <c r="AM141" s="523"/>
      <c r="AN141" s="523"/>
      <c r="AO141" s="439" t="str">
        <f>'5.  Logistic Cost (GC)'!O7</f>
        <v/>
      </c>
      <c r="AP141" s="439">
        <v>105</v>
      </c>
      <c r="AQ141" s="439" t="str">
        <f>Settings!$A$1</f>
        <v>V2</v>
      </c>
    </row>
    <row r="142" spans="1:44" ht="12.75" customHeight="1" x14ac:dyDescent="0.25">
      <c r="A142" s="439">
        <f>'Input-FX Rates'!$C$4</f>
        <v>242</v>
      </c>
      <c r="B142" s="439" t="str">
        <f>'Input-FX Rates'!$B$4</f>
        <v>ICH Icheon (242)</v>
      </c>
      <c r="C142" s="439">
        <f>'Input-FX Rates'!$C$6</f>
        <v>750</v>
      </c>
      <c r="D142" s="439" t="str">
        <f>'Input-FX Rates'!$B$6</f>
        <v>750 BU Sensorics &amp; Controls</v>
      </c>
      <c r="E142" s="439" t="str">
        <f>'Input-FX Rates'!$C$5</f>
        <v>7521 &amp; 7522</v>
      </c>
      <c r="F142" s="439" t="str">
        <f>'Input-FX Rates'!$B$5</f>
        <v>7521 &amp; 7522 PL Mechatronic Sensors (&amp; Electrification)</v>
      </c>
      <c r="G142" s="439" t="s">
        <v>1440</v>
      </c>
      <c r="H142" s="439" t="s">
        <v>498</v>
      </c>
      <c r="I142" s="523"/>
      <c r="J142" s="523"/>
      <c r="K142" s="524">
        <f>'5.  Logistic Cost (GC)'!B8</f>
        <v>-344.12993776548029</v>
      </c>
      <c r="L142" s="524">
        <f>'5.  Logistic Cost (GC)'!C8</f>
        <v>-627.8644704772156</v>
      </c>
      <c r="M142" s="524">
        <f>'5.  Logistic Cost (GC)'!D8</f>
        <v>-152.79020618625404</v>
      </c>
      <c r="N142" s="524">
        <f>'5.  Logistic Cost (GC)'!E8</f>
        <v>-475.07426429096165</v>
      </c>
      <c r="O142" s="524">
        <f>'5.  Logistic Cost (GC)'!M8</f>
        <v>-361.44099049580717</v>
      </c>
      <c r="P142" s="524">
        <f>'5.  Logistic Cost (GC)'!L8</f>
        <v>0</v>
      </c>
      <c r="Q142" s="524">
        <f>'5.  Logistic Cost (GC)'!F8</f>
        <v>23.103554061824941</v>
      </c>
      <c r="R142" s="524">
        <f>'5.  Logistic Cost (GC)'!G8</f>
        <v>0</v>
      </c>
      <c r="S142" s="524">
        <f>'5.  Logistic Cost (GC)'!H8</f>
        <v>-5.3588024021085872</v>
      </c>
      <c r="T142" s="524">
        <f>'5.  Logistic Cost (GC)'!I8</f>
        <v>0</v>
      </c>
      <c r="U142" s="524">
        <f>'5.  Logistic Cost (GC)'!J8</f>
        <v>0</v>
      </c>
      <c r="V142" s="524">
        <f>'5.  Logistic Cost (GC)'!K8</f>
        <v>11.927144654213862</v>
      </c>
      <c r="W142" s="523"/>
      <c r="X142" s="523"/>
      <c r="Y142" s="523"/>
      <c r="Z142" s="523"/>
      <c r="AA142" s="523"/>
      <c r="AB142" s="523"/>
      <c r="AC142" s="523"/>
      <c r="AD142" s="523"/>
      <c r="AE142" s="523"/>
      <c r="AF142" s="523"/>
      <c r="AG142" s="523"/>
      <c r="AH142" s="523"/>
      <c r="AI142" s="523"/>
      <c r="AJ142" s="523"/>
      <c r="AK142" s="523"/>
      <c r="AL142" s="523"/>
      <c r="AM142" s="523"/>
      <c r="AN142" s="523"/>
      <c r="AO142" s="439" t="str">
        <f>'5.  Logistic Cost (GC)'!O8</f>
        <v/>
      </c>
      <c r="AP142" s="439">
        <v>106</v>
      </c>
      <c r="AQ142" s="439" t="str">
        <f>Settings!$A$1</f>
        <v>V2</v>
      </c>
      <c r="AR142"/>
    </row>
    <row r="143" spans="1:44" ht="12.75" customHeight="1" x14ac:dyDescent="0.25">
      <c r="A143" s="439">
        <f>'Input-FX Rates'!$C$4</f>
        <v>242</v>
      </c>
      <c r="B143" s="439" t="str">
        <f>'Input-FX Rates'!$B$4</f>
        <v>ICH Icheon (242)</v>
      </c>
      <c r="C143" s="439">
        <f>'Input-FX Rates'!$C$6</f>
        <v>750</v>
      </c>
      <c r="D143" s="439" t="str">
        <f>'Input-FX Rates'!$B$6</f>
        <v>750 BU Sensorics &amp; Controls</v>
      </c>
      <c r="E143" s="439" t="str">
        <f>'Input-FX Rates'!$C$5</f>
        <v>7521 &amp; 7522</v>
      </c>
      <c r="F143" s="439" t="str">
        <f>'Input-FX Rates'!$B$5</f>
        <v>7521 &amp; 7522 PL Mechatronic Sensors (&amp; Electrification)</v>
      </c>
      <c r="G143" s="439" t="s">
        <v>1440</v>
      </c>
      <c r="H143" s="439" t="s">
        <v>500</v>
      </c>
      <c r="I143" s="523"/>
      <c r="J143" s="523"/>
      <c r="K143" s="524">
        <f>'5.  Logistic Cost (GC)'!B10</f>
        <v>-198.02613091148666</v>
      </c>
      <c r="L143" s="524">
        <f>'5.  Logistic Cost (GC)'!C10</f>
        <v>-331.05191437851767</v>
      </c>
      <c r="M143" s="524">
        <f>'5.  Logistic Cost (GC)'!D10</f>
        <v>-132.01013159593467</v>
      </c>
      <c r="N143" s="524">
        <f>'5.  Logistic Cost (GC)'!E10</f>
        <v>-199.04178278258297</v>
      </c>
      <c r="O143" s="524">
        <f>'5.  Logistic Cost (GC)'!M10</f>
        <v>-176.05461955443354</v>
      </c>
      <c r="P143" s="524">
        <f>'5.  Logistic Cost (GC)'!L10</f>
        <v>0</v>
      </c>
      <c r="Q143" s="524">
        <f>'5.  Logistic Cost (GC)'!F10</f>
        <v>9.6802680416921767</v>
      </c>
      <c r="R143" s="524">
        <f>'5.  Logistic Cost (GC)'!G10</f>
        <v>0</v>
      </c>
      <c r="S143" s="524">
        <f>'5.  Logistic Cost (GC)'!H10</f>
        <v>-2.9195462724733989</v>
      </c>
      <c r="T143" s="524">
        <f>'5.  Logistic Cost (GC)'!I10</f>
        <v>0</v>
      </c>
      <c r="U143" s="524">
        <f>'5.  Logistic Cost (GC)'!J10</f>
        <v>10.416837762382922</v>
      </c>
      <c r="V143" s="524">
        <f>'5.  Logistic Cost (GC)'!K10</f>
        <v>5.8096036965477253</v>
      </c>
      <c r="W143" s="523"/>
      <c r="X143" s="523"/>
      <c r="Y143" s="523"/>
      <c r="Z143" s="523"/>
      <c r="AA143" s="523"/>
      <c r="AB143" s="523"/>
      <c r="AC143" s="523"/>
      <c r="AD143" s="523"/>
      <c r="AE143" s="523"/>
      <c r="AF143" s="523"/>
      <c r="AG143" s="523"/>
      <c r="AH143" s="523"/>
      <c r="AI143" s="523"/>
      <c r="AJ143" s="523"/>
      <c r="AK143" s="523"/>
      <c r="AL143" s="523"/>
      <c r="AM143" s="523"/>
      <c r="AN143" s="523"/>
      <c r="AO143" s="439" t="str">
        <f>'5.  Logistic Cost (GC)'!O10</f>
        <v/>
      </c>
      <c r="AP143" s="439">
        <v>107</v>
      </c>
      <c r="AQ143" s="439" t="str">
        <f>Settings!$A$1</f>
        <v>V2</v>
      </c>
      <c r="AR143"/>
    </row>
    <row r="144" spans="1:44" ht="12.75" customHeight="1" x14ac:dyDescent="0.25">
      <c r="A144" s="439">
        <f>'Input-FX Rates'!$C$4</f>
        <v>242</v>
      </c>
      <c r="B144" s="439" t="str">
        <f>'Input-FX Rates'!$B$4</f>
        <v>ICH Icheon (242)</v>
      </c>
      <c r="C144" s="439">
        <f>'Input-FX Rates'!$C$6</f>
        <v>750</v>
      </c>
      <c r="D144" s="439" t="str">
        <f>'Input-FX Rates'!$B$6</f>
        <v>750 BU Sensorics &amp; Controls</v>
      </c>
      <c r="E144" s="439" t="str">
        <f>'Input-FX Rates'!$C$5</f>
        <v>7521 &amp; 7522</v>
      </c>
      <c r="F144" s="439" t="str">
        <f>'Input-FX Rates'!$B$5</f>
        <v>7521 &amp; 7522 PL Mechatronic Sensors (&amp; Electrification)</v>
      </c>
      <c r="G144" s="439" t="s">
        <v>1440</v>
      </c>
      <c r="H144" s="439" t="s">
        <v>531</v>
      </c>
      <c r="I144" s="523"/>
      <c r="J144" s="523"/>
      <c r="K144" s="524">
        <f>'5.  Logistic Cost (GC)'!B11</f>
        <v>-35.143296785262478</v>
      </c>
      <c r="L144" s="524">
        <f>'5.  Logistic Cost (GC)'!C11</f>
        <v>-77.140947517819839</v>
      </c>
      <c r="M144" s="524">
        <f>'5.  Logistic Cost (GC)'!D11</f>
        <v>0</v>
      </c>
      <c r="N144" s="524">
        <f>'5.  Logistic Cost (GC)'!E11</f>
        <v>-77.140947517819839</v>
      </c>
      <c r="O144" s="524">
        <f>'5.  Logistic Cost (GC)'!M11</f>
        <v>-78.193806206896554</v>
      </c>
      <c r="P144" s="524">
        <f>'5.  Logistic Cost (GC)'!L11</f>
        <v>0</v>
      </c>
      <c r="Q144" s="524">
        <f>'5.  Logistic Cost (GC)'!F11</f>
        <v>3.7515669346151754</v>
      </c>
      <c r="R144" s="524">
        <f>'5.  Logistic Cost (GC)'!G11</f>
        <v>0</v>
      </c>
      <c r="S144" s="524">
        <f>'5.  Logistic Cost (GC)'!H11</f>
        <v>-2.9195462724733989</v>
      </c>
      <c r="T144" s="524">
        <f>'5.  Logistic Cost (GC)'!I11</f>
        <v>0</v>
      </c>
      <c r="U144" s="524">
        <f>'5.  Logistic Cost (GC)'!J11</f>
        <v>-4.4651866827524271</v>
      </c>
      <c r="V144" s="524">
        <f>'5.  Logistic Cost (GC)'!K11</f>
        <v>2.5803073315339304</v>
      </c>
      <c r="W144" s="523"/>
      <c r="X144" s="523"/>
      <c r="Y144" s="523"/>
      <c r="Z144" s="523"/>
      <c r="AA144" s="523"/>
      <c r="AB144" s="523"/>
      <c r="AC144" s="523"/>
      <c r="AD144" s="523"/>
      <c r="AE144" s="523"/>
      <c r="AF144" s="523"/>
      <c r="AG144" s="523"/>
      <c r="AH144" s="523"/>
      <c r="AI144" s="523"/>
      <c r="AJ144" s="523"/>
      <c r="AK144" s="523"/>
      <c r="AL144" s="523"/>
      <c r="AM144" s="523"/>
      <c r="AN144" s="523"/>
      <c r="AO144" s="439" t="str">
        <f>'5.  Logistic Cost (GC)'!O11</f>
        <v/>
      </c>
      <c r="AP144" s="439">
        <v>108</v>
      </c>
      <c r="AQ144" s="439" t="str">
        <f>Settings!$A$1</f>
        <v>V2</v>
      </c>
      <c r="AR144"/>
    </row>
    <row r="145" spans="1:44" ht="12.75" customHeight="1" x14ac:dyDescent="0.25">
      <c r="A145" s="439">
        <f>'Input-FX Rates'!$C$4</f>
        <v>242</v>
      </c>
      <c r="B145" s="439" t="str">
        <f>'Input-FX Rates'!$B$4</f>
        <v>ICH Icheon (242)</v>
      </c>
      <c r="C145" s="439">
        <f>'Input-FX Rates'!$C$6</f>
        <v>750</v>
      </c>
      <c r="D145" s="439" t="str">
        <f>'Input-FX Rates'!$B$6</f>
        <v>750 BU Sensorics &amp; Controls</v>
      </c>
      <c r="E145" s="439" t="str">
        <f>'Input-FX Rates'!$C$5</f>
        <v>7521 &amp; 7522</v>
      </c>
      <c r="F145" s="439" t="str">
        <f>'Input-FX Rates'!$B$5</f>
        <v>7521 &amp; 7522 PL Mechatronic Sensors (&amp; Electrification)</v>
      </c>
      <c r="G145" s="439" t="s">
        <v>1440</v>
      </c>
      <c r="H145" s="439" t="s">
        <v>503</v>
      </c>
      <c r="I145" s="523"/>
      <c r="J145" s="523"/>
      <c r="K145" s="524">
        <f>'5.  Logistic Cost (GC)'!B12</f>
        <v>-49.900462773825531</v>
      </c>
      <c r="L145" s="524">
        <f>'5.  Logistic Cost (GC)'!C12</f>
        <v>-95.044223297630381</v>
      </c>
      <c r="M145" s="524">
        <f>'5.  Logistic Cost (GC)'!D12</f>
        <v>0</v>
      </c>
      <c r="N145" s="524">
        <f>'5.  Logistic Cost (GC)'!E12</f>
        <v>-95.044223297630381</v>
      </c>
      <c r="O145" s="524">
        <f>'5.  Logistic Cost (GC)'!M12</f>
        <v>-70.06886202678109</v>
      </c>
      <c r="P145" s="524">
        <f>'5.  Logistic Cost (GC)'!L12</f>
        <v>0</v>
      </c>
      <c r="Q145" s="524">
        <f>'5.  Logistic Cost (GC)'!F12</f>
        <v>4.6221356383940861</v>
      </c>
      <c r="R145" s="524">
        <f>'5.  Logistic Cost (GC)'!G12</f>
        <v>0</v>
      </c>
      <c r="S145" s="524">
        <f>'5.  Logistic Cost (GC)'!H12</f>
        <v>0</v>
      </c>
      <c r="T145" s="524">
        <f>'5.  Logistic Cost (GC)'!I12</f>
        <v>0</v>
      </c>
      <c r="U145" s="524">
        <f>'5.  Logistic Cost (GC)'!J12</f>
        <v>18.041032286583821</v>
      </c>
      <c r="V145" s="524">
        <f>'5.  Logistic Cost (GC)'!K12</f>
        <v>2.3121933458713784</v>
      </c>
      <c r="W145" s="523"/>
      <c r="X145" s="523"/>
      <c r="Y145" s="523"/>
      <c r="Z145" s="523"/>
      <c r="AA145" s="523"/>
      <c r="AB145" s="523"/>
      <c r="AC145" s="523"/>
      <c r="AD145" s="523"/>
      <c r="AE145" s="523"/>
      <c r="AF145" s="523"/>
      <c r="AG145" s="523"/>
      <c r="AH145" s="523"/>
      <c r="AI145" s="523"/>
      <c r="AJ145" s="523"/>
      <c r="AK145" s="523"/>
      <c r="AL145" s="523"/>
      <c r="AM145" s="523"/>
      <c r="AN145" s="523"/>
      <c r="AO145" s="439" t="str">
        <f>'5.  Logistic Cost (GC)'!O12</f>
        <v/>
      </c>
      <c r="AP145" s="439">
        <v>109</v>
      </c>
      <c r="AQ145" s="439" t="str">
        <f>Settings!$A$1</f>
        <v>V2</v>
      </c>
      <c r="AR145"/>
    </row>
    <row r="146" spans="1:44" ht="12.75" customHeight="1" x14ac:dyDescent="0.25">
      <c r="A146" s="439">
        <f>'Input-FX Rates'!$C$4</f>
        <v>242</v>
      </c>
      <c r="B146" s="439" t="str">
        <f>'Input-FX Rates'!$B$4</f>
        <v>ICH Icheon (242)</v>
      </c>
      <c r="C146" s="439">
        <f>'Input-FX Rates'!$C$6</f>
        <v>750</v>
      </c>
      <c r="D146" s="439" t="str">
        <f>'Input-FX Rates'!$B$6</f>
        <v>750 BU Sensorics &amp; Controls</v>
      </c>
      <c r="E146" s="439" t="str">
        <f>'Input-FX Rates'!$C$5</f>
        <v>7521 &amp; 7522</v>
      </c>
      <c r="F146" s="439" t="str">
        <f>'Input-FX Rates'!$B$5</f>
        <v>7521 &amp; 7522 PL Mechatronic Sensors (&amp; Electrification)</v>
      </c>
      <c r="G146" s="439" t="s">
        <v>1440</v>
      </c>
      <c r="H146" s="439" t="s">
        <v>505</v>
      </c>
      <c r="I146" s="523"/>
      <c r="J146" s="523"/>
      <c r="K146" s="524">
        <f>'5.  Logistic Cost (GC)'!B13</f>
        <v>-98.161872513113053</v>
      </c>
      <c r="L146" s="524">
        <f>'5.  Logistic Cost (GC)'!C13</f>
        <v>-132.01013159593467</v>
      </c>
      <c r="M146" s="524">
        <f>'5.  Logistic Cost (GC)'!D13</f>
        <v>-132.01013159593467</v>
      </c>
      <c r="N146" s="524">
        <f>'5.  Logistic Cost (GC)'!E13</f>
        <v>0</v>
      </c>
      <c r="O146" s="524">
        <f>'5.  Logistic Cost (GC)'!M13</f>
        <v>0</v>
      </c>
      <c r="P146" s="524">
        <f>'5.  Logistic Cost (GC)'!L13</f>
        <v>0</v>
      </c>
      <c r="Q146" s="524">
        <f>'5.  Logistic Cost (GC)'!F13</f>
        <v>0</v>
      </c>
      <c r="R146" s="524">
        <f>'5.  Logistic Cost (GC)'!G13</f>
        <v>0</v>
      </c>
      <c r="S146" s="524">
        <f>'5.  Logistic Cost (GC)'!H13</f>
        <v>0</v>
      </c>
      <c r="T146" s="524">
        <f>'5.  Logistic Cost (GC)'!I13</f>
        <v>0</v>
      </c>
      <c r="U146" s="524">
        <f>'5.  Logistic Cost (GC)'!J13</f>
        <v>0</v>
      </c>
      <c r="V146" s="524">
        <f>'5.  Logistic Cost (GC)'!K13</f>
        <v>0</v>
      </c>
      <c r="W146" s="523"/>
      <c r="X146" s="523"/>
      <c r="Y146" s="523"/>
      <c r="Z146" s="523"/>
      <c r="AA146" s="523"/>
      <c r="AB146" s="523"/>
      <c r="AC146" s="523"/>
      <c r="AD146" s="523"/>
      <c r="AE146" s="523"/>
      <c r="AF146" s="523"/>
      <c r="AG146" s="523"/>
      <c r="AH146" s="523"/>
      <c r="AI146" s="523"/>
      <c r="AJ146" s="523"/>
      <c r="AK146" s="523"/>
      <c r="AL146" s="523"/>
      <c r="AM146" s="523"/>
      <c r="AN146" s="523"/>
      <c r="AO146" s="439" t="str">
        <f>'5.  Logistic Cost (GC)'!O13</f>
        <v/>
      </c>
      <c r="AP146" s="439">
        <v>110</v>
      </c>
      <c r="AQ146" s="439" t="str">
        <f>Settings!$A$1</f>
        <v>V2</v>
      </c>
      <c r="AR146"/>
    </row>
    <row r="147" spans="1:44" ht="12.75" customHeight="1" x14ac:dyDescent="0.25">
      <c r="A147" s="439">
        <f>'Input-FX Rates'!$C$4</f>
        <v>242</v>
      </c>
      <c r="B147" s="439" t="str">
        <f>'Input-FX Rates'!$B$4</f>
        <v>ICH Icheon (242)</v>
      </c>
      <c r="C147" s="439">
        <f>'Input-FX Rates'!$C$6</f>
        <v>750</v>
      </c>
      <c r="D147" s="439" t="str">
        <f>'Input-FX Rates'!$B$6</f>
        <v>750 BU Sensorics &amp; Controls</v>
      </c>
      <c r="E147" s="439" t="str">
        <f>'Input-FX Rates'!$C$5</f>
        <v>7521 &amp; 7522</v>
      </c>
      <c r="F147" s="439" t="str">
        <f>'Input-FX Rates'!$B$5</f>
        <v>7521 &amp; 7522 PL Mechatronic Sensors (&amp; Electrification)</v>
      </c>
      <c r="G147" s="439" t="s">
        <v>1440</v>
      </c>
      <c r="H147" s="439" t="s">
        <v>507</v>
      </c>
      <c r="I147" s="523"/>
      <c r="J147" s="523"/>
      <c r="K147" s="524">
        <f>'5.  Logistic Cost (GC)'!B14</f>
        <v>0</v>
      </c>
      <c r="L147" s="524">
        <f>'5.  Logistic Cost (GC)'!C14</f>
        <v>0</v>
      </c>
      <c r="M147" s="524">
        <f>'5.  Logistic Cost (GC)'!D14</f>
        <v>0</v>
      </c>
      <c r="N147" s="524">
        <f>'5.  Logistic Cost (GC)'!E14</f>
        <v>0</v>
      </c>
      <c r="O147" s="524">
        <f>'5.  Logistic Cost (GC)'!M14</f>
        <v>0</v>
      </c>
      <c r="P147" s="524">
        <f>'5.  Logistic Cost (GC)'!L14</f>
        <v>0</v>
      </c>
      <c r="Q147" s="524">
        <f>'5.  Logistic Cost (GC)'!F14</f>
        <v>0</v>
      </c>
      <c r="R147" s="524">
        <f>'5.  Logistic Cost (GC)'!G14</f>
        <v>0</v>
      </c>
      <c r="S147" s="524">
        <f>'5.  Logistic Cost (GC)'!H14</f>
        <v>0</v>
      </c>
      <c r="T147" s="524">
        <f>'5.  Logistic Cost (GC)'!I14</f>
        <v>0</v>
      </c>
      <c r="U147" s="524">
        <f>'5.  Logistic Cost (GC)'!J14</f>
        <v>0</v>
      </c>
      <c r="V147" s="524">
        <f>'5.  Logistic Cost (GC)'!K14</f>
        <v>0</v>
      </c>
      <c r="W147" s="523"/>
      <c r="X147" s="523"/>
      <c r="Y147" s="523"/>
      <c r="Z147" s="523"/>
      <c r="AA147" s="523"/>
      <c r="AB147" s="523"/>
      <c r="AC147" s="523"/>
      <c r="AD147" s="523"/>
      <c r="AE147" s="523"/>
      <c r="AF147" s="523"/>
      <c r="AG147" s="523"/>
      <c r="AH147" s="523"/>
      <c r="AI147" s="523"/>
      <c r="AJ147" s="523"/>
      <c r="AK147" s="523"/>
      <c r="AL147" s="523"/>
      <c r="AM147" s="523"/>
      <c r="AN147" s="523"/>
      <c r="AO147" s="439" t="str">
        <f>'5.  Logistic Cost (GC)'!O14</f>
        <v/>
      </c>
      <c r="AP147" s="439">
        <v>111</v>
      </c>
      <c r="AQ147" s="439" t="str">
        <f>Settings!$A$1</f>
        <v>V2</v>
      </c>
      <c r="AR147"/>
    </row>
    <row r="148" spans="1:44" ht="12.75" customHeight="1" x14ac:dyDescent="0.25">
      <c r="A148" s="439">
        <f>'Input-FX Rates'!$C$4</f>
        <v>242</v>
      </c>
      <c r="B148" s="439" t="str">
        <f>'Input-FX Rates'!$B$4</f>
        <v>ICH Icheon (242)</v>
      </c>
      <c r="C148" s="439">
        <f>'Input-FX Rates'!$C$6</f>
        <v>750</v>
      </c>
      <c r="D148" s="439" t="str">
        <f>'Input-FX Rates'!$B$6</f>
        <v>750 BU Sensorics &amp; Controls</v>
      </c>
      <c r="E148" s="439" t="str">
        <f>'Input-FX Rates'!$C$5</f>
        <v>7521 &amp; 7522</v>
      </c>
      <c r="F148" s="439" t="str">
        <f>'Input-FX Rates'!$B$5</f>
        <v>7521 &amp; 7522 PL Mechatronic Sensors (&amp; Electrification)</v>
      </c>
      <c r="G148" s="439" t="s">
        <v>1440</v>
      </c>
      <c r="H148" s="439" t="s">
        <v>509</v>
      </c>
      <c r="I148" s="523"/>
      <c r="J148" s="523"/>
      <c r="K148" s="524">
        <f>'5.  Logistic Cost (GC)'!B15</f>
        <v>-14.764249530917876</v>
      </c>
      <c r="L148" s="524">
        <f>'5.  Logistic Cost (GC)'!C15</f>
        <v>-26.728164531207849</v>
      </c>
      <c r="M148" s="524">
        <f>'5.  Logistic Cost (GC)'!D15</f>
        <v>0</v>
      </c>
      <c r="N148" s="524">
        <f>'5.  Logistic Cost (GC)'!E15</f>
        <v>-26.728164531207849</v>
      </c>
      <c r="O148" s="524">
        <f>'5.  Logistic Cost (GC)'!M15</f>
        <v>-27.791951320755903</v>
      </c>
      <c r="P148" s="524">
        <f>'5.  Logistic Cost (GC)'!L15</f>
        <v>0</v>
      </c>
      <c r="Q148" s="524">
        <f>'5.  Logistic Cost (GC)'!F15</f>
        <v>1.3001537515519741</v>
      </c>
      <c r="R148" s="524">
        <f>'5.  Logistic Cost (GC)'!G15</f>
        <v>0</v>
      </c>
      <c r="S148" s="524">
        <f>'5.  Logistic Cost (GC)'!H15</f>
        <v>0</v>
      </c>
      <c r="T148" s="524">
        <f>'5.  Logistic Cost (GC)'!I15</f>
        <v>0</v>
      </c>
      <c r="U148" s="524">
        <f>'5.  Logistic Cost (GC)'!J15</f>
        <v>-3.2810435602424279</v>
      </c>
      <c r="V148" s="524">
        <f>'5.  Logistic Cost (GC)'!K15</f>
        <v>0.91710301914240233</v>
      </c>
      <c r="W148" s="523"/>
      <c r="X148" s="523"/>
      <c r="Y148" s="523"/>
      <c r="Z148" s="523"/>
      <c r="AA148" s="523"/>
      <c r="AB148" s="523"/>
      <c r="AC148" s="523"/>
      <c r="AD148" s="523"/>
      <c r="AE148" s="523"/>
      <c r="AF148" s="523"/>
      <c r="AG148" s="523"/>
      <c r="AH148" s="523"/>
      <c r="AI148" s="523"/>
      <c r="AJ148" s="523"/>
      <c r="AK148" s="523"/>
      <c r="AL148" s="523"/>
      <c r="AM148" s="523"/>
      <c r="AN148" s="523"/>
      <c r="AO148" s="439" t="str">
        <f>'5.  Logistic Cost (GC)'!O15</f>
        <v/>
      </c>
      <c r="AP148" s="439">
        <v>112</v>
      </c>
      <c r="AQ148" s="439" t="str">
        <f>Settings!$A$1</f>
        <v>V2</v>
      </c>
      <c r="AR148"/>
    </row>
    <row r="149" spans="1:44" ht="12.75" customHeight="1" x14ac:dyDescent="0.25">
      <c r="A149" s="439">
        <f>'Input-FX Rates'!$C$4</f>
        <v>242</v>
      </c>
      <c r="B149" s="439" t="str">
        <f>'Input-FX Rates'!$B$4</f>
        <v>ICH Icheon (242)</v>
      </c>
      <c r="C149" s="439">
        <f>'Input-FX Rates'!$C$6</f>
        <v>750</v>
      </c>
      <c r="D149" s="439" t="str">
        <f>'Input-FX Rates'!$B$6</f>
        <v>750 BU Sensorics &amp; Controls</v>
      </c>
      <c r="E149" s="439" t="str">
        <f>'Input-FX Rates'!$C$5</f>
        <v>7521 &amp; 7522</v>
      </c>
      <c r="F149" s="439" t="str">
        <f>'Input-FX Rates'!$B$5</f>
        <v>7521 &amp; 7522 PL Mechatronic Sensors (&amp; Electrification)</v>
      </c>
      <c r="G149" s="439" t="s">
        <v>1440</v>
      </c>
      <c r="H149" s="439" t="s">
        <v>511</v>
      </c>
      <c r="I149" s="523"/>
      <c r="J149" s="523"/>
      <c r="K149" s="524">
        <f>'5.  Logistic Cost (GC)'!B16</f>
        <v>0</v>
      </c>
      <c r="L149" s="524">
        <f>'5.  Logistic Cost (GC)'!C16</f>
        <v>0</v>
      </c>
      <c r="M149" s="524">
        <f>'5.  Logistic Cost (GC)'!D16</f>
        <v>0</v>
      </c>
      <c r="N149" s="524">
        <f>'5.  Logistic Cost (GC)'!E16</f>
        <v>0</v>
      </c>
      <c r="O149" s="524">
        <f>'5.  Logistic Cost (GC)'!M16</f>
        <v>0</v>
      </c>
      <c r="P149" s="524">
        <f>'5.  Logistic Cost (GC)'!L16</f>
        <v>0</v>
      </c>
      <c r="Q149" s="524">
        <f>'5.  Logistic Cost (GC)'!F16</f>
        <v>0</v>
      </c>
      <c r="R149" s="524">
        <f>'5.  Logistic Cost (GC)'!G16</f>
        <v>0</v>
      </c>
      <c r="S149" s="524">
        <f>'5.  Logistic Cost (GC)'!H16</f>
        <v>0</v>
      </c>
      <c r="T149" s="524">
        <f>'5.  Logistic Cost (GC)'!I16</f>
        <v>0</v>
      </c>
      <c r="U149" s="524">
        <f>'5.  Logistic Cost (GC)'!J16</f>
        <v>0</v>
      </c>
      <c r="V149" s="524">
        <f>'5.  Logistic Cost (GC)'!K16</f>
        <v>0</v>
      </c>
      <c r="W149" s="523"/>
      <c r="X149" s="523"/>
      <c r="Y149" s="523"/>
      <c r="Z149" s="523"/>
      <c r="AA149" s="523"/>
      <c r="AB149" s="523"/>
      <c r="AC149" s="523"/>
      <c r="AD149" s="523"/>
      <c r="AE149" s="523"/>
      <c r="AF149" s="523"/>
      <c r="AG149" s="523"/>
      <c r="AH149" s="523"/>
      <c r="AI149" s="523"/>
      <c r="AJ149" s="523"/>
      <c r="AK149" s="523"/>
      <c r="AL149" s="523"/>
      <c r="AM149" s="523"/>
      <c r="AN149" s="523"/>
      <c r="AO149" s="439" t="str">
        <f>'5.  Logistic Cost (GC)'!O16</f>
        <v/>
      </c>
      <c r="AP149" s="439">
        <v>1121</v>
      </c>
      <c r="AQ149" s="439" t="str">
        <f>Settings!$A$1</f>
        <v>V2</v>
      </c>
      <c r="AR149"/>
    </row>
    <row r="150" spans="1:44" ht="12.75" customHeight="1" x14ac:dyDescent="0.2">
      <c r="A150" s="439">
        <f>'Input-FX Rates'!$C$4</f>
        <v>242</v>
      </c>
      <c r="B150" s="439" t="str">
        <f>'Input-FX Rates'!$B$4</f>
        <v>ICH Icheon (242)</v>
      </c>
      <c r="C150" s="439">
        <f>'Input-FX Rates'!$C$6</f>
        <v>750</v>
      </c>
      <c r="D150" s="439" t="str">
        <f>'Input-FX Rates'!$B$6</f>
        <v>750 BU Sensorics &amp; Controls</v>
      </c>
      <c r="E150" s="439" t="str">
        <f>'Input-FX Rates'!$C$5</f>
        <v>7521 &amp; 7522</v>
      </c>
      <c r="F150" s="439" t="str">
        <f>'Input-FX Rates'!$B$5</f>
        <v>7521 &amp; 7522 PL Mechatronic Sensors (&amp; Electrification)</v>
      </c>
      <c r="G150" s="439" t="s">
        <v>1440</v>
      </c>
      <c r="H150" s="439" t="s">
        <v>533</v>
      </c>
      <c r="I150" s="523"/>
      <c r="J150" s="523"/>
      <c r="K150" s="524">
        <f>'5.  Logistic Cost (GC)'!B17</f>
        <v>-5.6249308367721552E-2</v>
      </c>
      <c r="L150" s="524">
        <f>'5.  Logistic Cost (GC)'!C17</f>
        <v>-0.12844743592489583</v>
      </c>
      <c r="M150" s="524">
        <f>'5.  Logistic Cost (GC)'!D17</f>
        <v>0</v>
      </c>
      <c r="N150" s="524">
        <f>'5.  Logistic Cost (GC)'!E17</f>
        <v>-0.12844743592489583</v>
      </c>
      <c r="O150" s="524">
        <f>'5.  Logistic Cost (GC)'!M17</f>
        <v>0</v>
      </c>
      <c r="P150" s="524">
        <f>'5.  Logistic Cost (GC)'!L17</f>
        <v>0</v>
      </c>
      <c r="Q150" s="524">
        <f>'5.  Logistic Cost (GC)'!F17</f>
        <v>6.4117171309412413E-3</v>
      </c>
      <c r="R150" s="524">
        <f>'5.  Logistic Cost (GC)'!G17</f>
        <v>0</v>
      </c>
      <c r="S150" s="524">
        <f>'5.  Logistic Cost (GC)'!H17</f>
        <v>0</v>
      </c>
      <c r="T150" s="524">
        <f>'5.  Logistic Cost (GC)'!I17</f>
        <v>0</v>
      </c>
      <c r="U150" s="524">
        <f>'5.  Logistic Cost (GC)'!J17</f>
        <v>0.1220357187939546</v>
      </c>
      <c r="V150" s="524">
        <f>'5.  Logistic Cost (GC)'!K17</f>
        <v>0</v>
      </c>
      <c r="W150" s="523"/>
      <c r="X150" s="523"/>
      <c r="Y150" s="523"/>
      <c r="Z150" s="523"/>
      <c r="AA150" s="523"/>
      <c r="AB150" s="523"/>
      <c r="AC150" s="523"/>
      <c r="AD150" s="523"/>
      <c r="AE150" s="523"/>
      <c r="AF150" s="523"/>
      <c r="AG150" s="523"/>
      <c r="AH150" s="523"/>
      <c r="AI150" s="523"/>
      <c r="AJ150" s="523"/>
      <c r="AK150" s="523"/>
      <c r="AL150" s="523"/>
      <c r="AM150" s="523"/>
      <c r="AN150" s="523"/>
      <c r="AO150" s="439" t="str">
        <f>'5.  Logistic Cost (GC)'!O17</f>
        <v/>
      </c>
      <c r="AP150" s="439">
        <v>113</v>
      </c>
      <c r="AQ150" s="439" t="str">
        <f>Settings!$A$1</f>
        <v>V2</v>
      </c>
    </row>
    <row r="151" spans="1:44" ht="12.75" customHeight="1" x14ac:dyDescent="0.2">
      <c r="A151" s="439">
        <f>'Input-FX Rates'!$C$4</f>
        <v>242</v>
      </c>
      <c r="B151" s="439" t="str">
        <f>'Input-FX Rates'!$B$4</f>
        <v>ICH Icheon (242)</v>
      </c>
      <c r="C151" s="439">
        <f>'Input-FX Rates'!$C$6</f>
        <v>750</v>
      </c>
      <c r="D151" s="439" t="str">
        <f>'Input-FX Rates'!$B$6</f>
        <v>750 BU Sensorics &amp; Controls</v>
      </c>
      <c r="E151" s="439" t="str">
        <f>'Input-FX Rates'!$C$5</f>
        <v>7521 &amp; 7522</v>
      </c>
      <c r="F151" s="439" t="str">
        <f>'Input-FX Rates'!$B$5</f>
        <v>7521 &amp; 7522 PL Mechatronic Sensors (&amp; Electrification)</v>
      </c>
      <c r="G151" s="439" t="s">
        <v>1440</v>
      </c>
      <c r="H151" s="439" t="s">
        <v>515</v>
      </c>
      <c r="I151" s="523"/>
      <c r="J151" s="523"/>
      <c r="K151" s="524">
        <f>'5.  Logistic Cost (GC)'!B18</f>
        <v>-146.1038068539936</v>
      </c>
      <c r="L151" s="524">
        <f>'5.  Logistic Cost (GC)'!C18</f>
        <v>-296.81255609869805</v>
      </c>
      <c r="M151" s="524">
        <f>'5.  Logistic Cost (GC)'!D18</f>
        <v>-20.780074590319352</v>
      </c>
      <c r="N151" s="524">
        <f>'5.  Logistic Cost (GC)'!E18</f>
        <v>-276.03248150837874</v>
      </c>
      <c r="O151" s="524">
        <f>'5.  Logistic Cost (GC)'!M18</f>
        <v>-185.38637094137363</v>
      </c>
      <c r="P151" s="524">
        <f>'5.  Logistic Cost (GC)'!L18</f>
        <v>0</v>
      </c>
      <c r="Q151" s="524">
        <f>'5.  Logistic Cost (GC)'!F18</f>
        <v>13.424710846161862</v>
      </c>
      <c r="R151" s="524">
        <f>'5.  Logistic Cost (GC)'!G18</f>
        <v>0</v>
      </c>
      <c r="S151" s="524">
        <f>'5.  Logistic Cost (GC)'!H18</f>
        <v>-2.4392561296351887</v>
      </c>
      <c r="T151" s="524">
        <f>'5.  Logistic Cost (GC)'!I18</f>
        <v>0</v>
      </c>
      <c r="U151" s="524">
        <f>'5.  Logistic Cost (GC)'!J18</f>
        <v>73.543114892812255</v>
      </c>
      <c r="V151" s="524">
        <f>'5.  Logistic Cost (GC)'!K18</f>
        <v>6.1175409576661082</v>
      </c>
      <c r="W151" s="523"/>
      <c r="X151" s="523"/>
      <c r="Y151" s="523"/>
      <c r="Z151" s="523"/>
      <c r="AA151" s="523"/>
      <c r="AB151" s="523"/>
      <c r="AC151" s="523"/>
      <c r="AD151" s="523"/>
      <c r="AE151" s="523"/>
      <c r="AF151" s="523"/>
      <c r="AG151" s="523"/>
      <c r="AH151" s="523"/>
      <c r="AI151" s="523"/>
      <c r="AJ151" s="523"/>
      <c r="AK151" s="523"/>
      <c r="AL151" s="523"/>
      <c r="AM151" s="523"/>
      <c r="AN151" s="523"/>
      <c r="AO151" s="439" t="str">
        <f>'5.  Logistic Cost (GC)'!O18</f>
        <v/>
      </c>
      <c r="AP151" s="439">
        <v>114</v>
      </c>
      <c r="AQ151" s="439" t="str">
        <f>Settings!$A$1</f>
        <v>V2</v>
      </c>
    </row>
    <row r="152" spans="1:44" ht="12.75" customHeight="1" x14ac:dyDescent="0.2">
      <c r="A152" s="439">
        <f>'Input-FX Rates'!$C$4</f>
        <v>242</v>
      </c>
      <c r="B152" s="439" t="str">
        <f>'Input-FX Rates'!$B$4</f>
        <v>ICH Icheon (242)</v>
      </c>
      <c r="C152" s="439">
        <f>'Input-FX Rates'!$C$6</f>
        <v>750</v>
      </c>
      <c r="D152" s="439" t="str">
        <f>'Input-FX Rates'!$B$6</f>
        <v>750 BU Sensorics &amp; Controls</v>
      </c>
      <c r="E152" s="439" t="str">
        <f>'Input-FX Rates'!$C$5</f>
        <v>7521 &amp; 7522</v>
      </c>
      <c r="F152" s="439" t="str">
        <f>'Input-FX Rates'!$B$5</f>
        <v>7521 &amp; 7522 PL Mechatronic Sensors (&amp; Electrification)</v>
      </c>
      <c r="G152" s="439" t="s">
        <v>1440</v>
      </c>
      <c r="H152" s="439" t="s">
        <v>534</v>
      </c>
      <c r="I152" s="523"/>
      <c r="J152" s="523"/>
      <c r="K152" s="524">
        <f>'5.  Logistic Cost (GC)'!B19</f>
        <v>-33.575797308265329</v>
      </c>
      <c r="L152" s="524">
        <f>'5.  Logistic Cost (GC)'!C19</f>
        <v>-66.23762761406968</v>
      </c>
      <c r="M152" s="524">
        <f>'5.  Logistic Cost (GC)'!D19</f>
        <v>0</v>
      </c>
      <c r="N152" s="524">
        <f>'5.  Logistic Cost (GC)'!E19</f>
        <v>-66.23762761406968</v>
      </c>
      <c r="O152" s="524">
        <f>'5.  Logistic Cost (GC)'!M19</f>
        <v>-65.330261379310343</v>
      </c>
      <c r="P152" s="524">
        <f>'5.  Logistic Cost (GC)'!L19</f>
        <v>0</v>
      </c>
      <c r="Q152" s="524">
        <f>'5.  Logistic Cost (GC)'!F19</f>
        <v>3.2215316517906993</v>
      </c>
      <c r="R152" s="524">
        <f>'5.  Logistic Cost (GC)'!G19</f>
        <v>0</v>
      </c>
      <c r="S152" s="524">
        <f>'5.  Logistic Cost (GC)'!H19</f>
        <v>-2.4392561296351887</v>
      </c>
      <c r="T152" s="524">
        <f>'5.  Logistic Cost (GC)'!I19</f>
        <v>0</v>
      </c>
      <c r="U152" s="524">
        <f>'5.  Logistic Cost (GC)'!J19</f>
        <v>-2.0307341613258347</v>
      </c>
      <c r="V152" s="524">
        <f>'5.  Logistic Cost (GC)'!K19</f>
        <v>2.1558248739296602</v>
      </c>
      <c r="W152" s="523"/>
      <c r="X152" s="523"/>
      <c r="Y152" s="523"/>
      <c r="Z152" s="523"/>
      <c r="AA152" s="523"/>
      <c r="AB152" s="523"/>
      <c r="AC152" s="523"/>
      <c r="AD152" s="523"/>
      <c r="AE152" s="523"/>
      <c r="AF152" s="523"/>
      <c r="AG152" s="523"/>
      <c r="AH152" s="523"/>
      <c r="AI152" s="523"/>
      <c r="AJ152" s="523"/>
      <c r="AK152" s="523"/>
      <c r="AL152" s="523"/>
      <c r="AM152" s="523"/>
      <c r="AN152" s="523"/>
      <c r="AO152" s="439" t="str">
        <f>'5.  Logistic Cost (GC)'!O19</f>
        <v/>
      </c>
      <c r="AP152" s="439">
        <v>115</v>
      </c>
      <c r="AQ152" s="439" t="str">
        <f>Settings!$A$1</f>
        <v>V2</v>
      </c>
    </row>
    <row r="153" spans="1:44" ht="12.75" customHeight="1" x14ac:dyDescent="0.2">
      <c r="A153" s="439">
        <f>'Input-FX Rates'!$C$4</f>
        <v>242</v>
      </c>
      <c r="B153" s="439" t="str">
        <f>'Input-FX Rates'!$B$4</f>
        <v>ICH Icheon (242)</v>
      </c>
      <c r="C153" s="439">
        <f>'Input-FX Rates'!$C$6</f>
        <v>750</v>
      </c>
      <c r="D153" s="439" t="str">
        <f>'Input-FX Rates'!$B$6</f>
        <v>750 BU Sensorics &amp; Controls</v>
      </c>
      <c r="E153" s="439" t="str">
        <f>'Input-FX Rates'!$C$5</f>
        <v>7521 &amp; 7522</v>
      </c>
      <c r="F153" s="439" t="str">
        <f>'Input-FX Rates'!$B$5</f>
        <v>7521 &amp; 7522 PL Mechatronic Sensors (&amp; Electrification)</v>
      </c>
      <c r="G153" s="439" t="s">
        <v>1440</v>
      </c>
      <c r="H153" s="439" t="s">
        <v>518</v>
      </c>
      <c r="I153" s="523"/>
      <c r="J153" s="523"/>
      <c r="K153" s="524">
        <f>'5.  Logistic Cost (GC)'!B20</f>
        <v>-41.63703269375673</v>
      </c>
      <c r="L153" s="524">
        <f>'5.  Logistic Cost (GC)'!C20</f>
        <v>-90.237132672763991</v>
      </c>
      <c r="M153" s="524">
        <f>'5.  Logistic Cost (GC)'!D20</f>
        <v>0</v>
      </c>
      <c r="N153" s="524">
        <f>'5.  Logistic Cost (GC)'!E20</f>
        <v>-90.237132672763991</v>
      </c>
      <c r="O153" s="524">
        <f>'5.  Logistic Cost (GC)'!M20</f>
        <v>-57.950558379851671</v>
      </c>
      <c r="P153" s="524">
        <f>'5.  Logistic Cost (GC)'!L20</f>
        <v>0</v>
      </c>
      <c r="Q153" s="524">
        <f>'5.  Logistic Cost (GC)'!F20</f>
        <v>4.3884641696220053</v>
      </c>
      <c r="R153" s="524">
        <f>'5.  Logistic Cost (GC)'!G20</f>
        <v>0</v>
      </c>
      <c r="S153" s="524">
        <f>'5.  Logistic Cost (GC)'!H20</f>
        <v>0</v>
      </c>
      <c r="T153" s="524">
        <f>'5.  Logistic Cost (GC)'!I20</f>
        <v>0</v>
      </c>
      <c r="U153" s="524">
        <f>'5.  Logistic Cost (GC)'!J20</f>
        <v>25.985807117367212</v>
      </c>
      <c r="V153" s="524">
        <f>'5.  Logistic Cost (GC)'!K20</f>
        <v>1.912303005923107</v>
      </c>
      <c r="W153" s="523"/>
      <c r="X153" s="523"/>
      <c r="Y153" s="523"/>
      <c r="Z153" s="523"/>
      <c r="AA153" s="523"/>
      <c r="AB153" s="523"/>
      <c r="AC153" s="523"/>
      <c r="AD153" s="523"/>
      <c r="AE153" s="523"/>
      <c r="AF153" s="523"/>
      <c r="AG153" s="523"/>
      <c r="AH153" s="523"/>
      <c r="AI153" s="523"/>
      <c r="AJ153" s="523"/>
      <c r="AK153" s="523"/>
      <c r="AL153" s="523"/>
      <c r="AM153" s="523"/>
      <c r="AN153" s="523"/>
      <c r="AO153" s="439" t="str">
        <f>'5.  Logistic Cost (GC)'!O20</f>
        <v/>
      </c>
      <c r="AP153" s="439">
        <v>116</v>
      </c>
      <c r="AQ153" s="439" t="str">
        <f>Settings!$A$1</f>
        <v>V2</v>
      </c>
    </row>
    <row r="154" spans="1:44" ht="12.75" customHeight="1" x14ac:dyDescent="0.2">
      <c r="A154" s="439">
        <f>'Input-FX Rates'!$C$4</f>
        <v>242</v>
      </c>
      <c r="B154" s="439" t="str">
        <f>'Input-FX Rates'!$B$4</f>
        <v>ICH Icheon (242)</v>
      </c>
      <c r="C154" s="439">
        <f>'Input-FX Rates'!$C$6</f>
        <v>750</v>
      </c>
      <c r="D154" s="439" t="str">
        <f>'Input-FX Rates'!$B$6</f>
        <v>750 BU Sensorics &amp; Controls</v>
      </c>
      <c r="E154" s="439" t="str">
        <f>'Input-FX Rates'!$C$5</f>
        <v>7521 &amp; 7522</v>
      </c>
      <c r="F154" s="439" t="str">
        <f>'Input-FX Rates'!$B$5</f>
        <v>7521 &amp; 7522 PL Mechatronic Sensors (&amp; Electrification)</v>
      </c>
      <c r="G154" s="439" t="s">
        <v>1440</v>
      </c>
      <c r="H154" s="439" t="s">
        <v>520</v>
      </c>
      <c r="I154" s="523"/>
      <c r="J154" s="523"/>
      <c r="K154" s="524">
        <f>'5.  Logistic Cost (GC)'!B21</f>
        <v>-9.9939124224031595</v>
      </c>
      <c r="L154" s="524">
        <f>'5.  Logistic Cost (GC)'!C21</f>
        <v>-20.780074590319352</v>
      </c>
      <c r="M154" s="524">
        <f>'5.  Logistic Cost (GC)'!D21</f>
        <v>-20.780074590319352</v>
      </c>
      <c r="N154" s="524">
        <f>'5.  Logistic Cost (GC)'!E21</f>
        <v>0</v>
      </c>
      <c r="O154" s="524">
        <f>'5.  Logistic Cost (GC)'!M21</f>
        <v>0</v>
      </c>
      <c r="P154" s="524">
        <f>'5.  Logistic Cost (GC)'!L21</f>
        <v>0</v>
      </c>
      <c r="Q154" s="524">
        <f>'5.  Logistic Cost (GC)'!F21</f>
        <v>0</v>
      </c>
      <c r="R154" s="524">
        <f>'5.  Logistic Cost (GC)'!G21</f>
        <v>0</v>
      </c>
      <c r="S154" s="524">
        <f>'5.  Logistic Cost (GC)'!H21</f>
        <v>0</v>
      </c>
      <c r="T154" s="524">
        <f>'5.  Logistic Cost (GC)'!I21</f>
        <v>0</v>
      </c>
      <c r="U154" s="524">
        <f>'5.  Logistic Cost (GC)'!J21</f>
        <v>0</v>
      </c>
      <c r="V154" s="524">
        <f>'5.  Logistic Cost (GC)'!K21</f>
        <v>0</v>
      </c>
      <c r="W154" s="523"/>
      <c r="X154" s="523"/>
      <c r="Y154" s="523"/>
      <c r="Z154" s="523"/>
      <c r="AA154" s="523"/>
      <c r="AB154" s="523"/>
      <c r="AC154" s="523"/>
      <c r="AD154" s="523"/>
      <c r="AE154" s="523"/>
      <c r="AF154" s="523"/>
      <c r="AG154" s="523"/>
      <c r="AH154" s="523"/>
      <c r="AI154" s="523"/>
      <c r="AJ154" s="523"/>
      <c r="AK154" s="523"/>
      <c r="AL154" s="523"/>
      <c r="AM154" s="523"/>
      <c r="AN154" s="523"/>
      <c r="AO154" s="439" t="str">
        <f>'5.  Logistic Cost (GC)'!O21</f>
        <v/>
      </c>
      <c r="AP154" s="439">
        <v>117</v>
      </c>
      <c r="AQ154" s="439" t="str">
        <f>Settings!$A$1</f>
        <v>V2</v>
      </c>
    </row>
    <row r="155" spans="1:44" ht="12.75" customHeight="1" x14ac:dyDescent="0.2">
      <c r="A155" s="439">
        <f>'Input-FX Rates'!$C$4</f>
        <v>242</v>
      </c>
      <c r="B155" s="439" t="str">
        <f>'Input-FX Rates'!$B$4</f>
        <v>ICH Icheon (242)</v>
      </c>
      <c r="C155" s="439">
        <f>'Input-FX Rates'!$C$6</f>
        <v>750</v>
      </c>
      <c r="D155" s="439" t="str">
        <f>'Input-FX Rates'!$B$6</f>
        <v>750 BU Sensorics &amp; Controls</v>
      </c>
      <c r="E155" s="439" t="str">
        <f>'Input-FX Rates'!$C$5</f>
        <v>7521 &amp; 7522</v>
      </c>
      <c r="F155" s="439" t="str">
        <f>'Input-FX Rates'!$B$5</f>
        <v>7521 &amp; 7522 PL Mechatronic Sensors (&amp; Electrification)</v>
      </c>
      <c r="G155" s="439" t="s">
        <v>1440</v>
      </c>
      <c r="H155" s="439" t="s">
        <v>522</v>
      </c>
      <c r="I155" s="523"/>
      <c r="J155" s="523"/>
      <c r="K155" s="524">
        <f>'5.  Logistic Cost (GC)'!B22</f>
        <v>-13.075793018021493</v>
      </c>
      <c r="L155" s="524">
        <f>'5.  Logistic Cost (GC)'!C22</f>
        <v>-26.613233150735429</v>
      </c>
      <c r="M155" s="524">
        <f>'5.  Logistic Cost (GC)'!D22</f>
        <v>0</v>
      </c>
      <c r="N155" s="524">
        <f>'5.  Logistic Cost (GC)'!E22</f>
        <v>-26.613233150735429</v>
      </c>
      <c r="O155" s="524">
        <f>'5.  Logistic Cost (GC)'!M22</f>
        <v>-26.25787931034483</v>
      </c>
      <c r="P155" s="524">
        <f>'5.  Logistic Cost (GC)'!L22</f>
        <v>0</v>
      </c>
      <c r="Q155" s="524">
        <f>'5.  Logistic Cost (GC)'!F22</f>
        <v>1.2944544474355817</v>
      </c>
      <c r="R155" s="524">
        <f>'5.  Logistic Cost (GC)'!G22</f>
        <v>0</v>
      </c>
      <c r="S155" s="524">
        <f>'5.  Logistic Cost (GC)'!H22</f>
        <v>0</v>
      </c>
      <c r="T155" s="524">
        <f>'5.  Logistic Cost (GC)'!I22</f>
        <v>0</v>
      </c>
      <c r="U155" s="524">
        <f>'5.  Logistic Cost (GC)'!J22</f>
        <v>-1.8055809816637107</v>
      </c>
      <c r="V155" s="524">
        <f>'5.  Logistic Cost (GC)'!K22</f>
        <v>0.86648037461872818</v>
      </c>
      <c r="W155" s="523"/>
      <c r="X155" s="523"/>
      <c r="Y155" s="523"/>
      <c r="Z155" s="523"/>
      <c r="AA155" s="523"/>
      <c r="AB155" s="523"/>
      <c r="AC155" s="523"/>
      <c r="AD155" s="523"/>
      <c r="AE155" s="523"/>
      <c r="AF155" s="523"/>
      <c r="AG155" s="523"/>
      <c r="AH155" s="523"/>
      <c r="AI155" s="523"/>
      <c r="AJ155" s="523"/>
      <c r="AK155" s="523"/>
      <c r="AL155" s="523"/>
      <c r="AM155" s="523"/>
      <c r="AN155" s="523"/>
      <c r="AO155" s="439" t="str">
        <f>'5.  Logistic Cost (GC)'!O22</f>
        <v/>
      </c>
      <c r="AP155" s="439">
        <v>118</v>
      </c>
      <c r="AQ155" s="439" t="str">
        <f>Settings!$A$1</f>
        <v>V2</v>
      </c>
    </row>
    <row r="156" spans="1:44" ht="12.75" customHeight="1" x14ac:dyDescent="0.2">
      <c r="A156" s="439">
        <f>'Input-FX Rates'!$C$4</f>
        <v>242</v>
      </c>
      <c r="B156" s="439" t="str">
        <f>'Input-FX Rates'!$B$4</f>
        <v>ICH Icheon (242)</v>
      </c>
      <c r="C156" s="439">
        <f>'Input-FX Rates'!$C$6</f>
        <v>750</v>
      </c>
      <c r="D156" s="439" t="str">
        <f>'Input-FX Rates'!$B$6</f>
        <v>750 BU Sensorics &amp; Controls</v>
      </c>
      <c r="E156" s="439" t="str">
        <f>'Input-FX Rates'!$C$5</f>
        <v>7521 &amp; 7522</v>
      </c>
      <c r="F156" s="439" t="str">
        <f>'Input-FX Rates'!$B$5</f>
        <v>7521 &amp; 7522 PL Mechatronic Sensors (&amp; Electrification)</v>
      </c>
      <c r="G156" s="439" t="s">
        <v>1440</v>
      </c>
      <c r="H156" s="439" t="s">
        <v>536</v>
      </c>
      <c r="I156" s="523"/>
      <c r="J156" s="523"/>
      <c r="K156" s="524">
        <f>'5.  Logistic Cost (GC)'!B23</f>
        <v>-47.821271411546903</v>
      </c>
      <c r="L156" s="524">
        <f>'5.  Logistic Cost (GC)'!C23</f>
        <v>-92.94448807080957</v>
      </c>
      <c r="M156" s="524">
        <f>'5.  Logistic Cost (GC)'!D23</f>
        <v>0</v>
      </c>
      <c r="N156" s="524">
        <f>'5.  Logistic Cost (GC)'!E23</f>
        <v>-92.94448807080957</v>
      </c>
      <c r="O156" s="524">
        <f>'5.  Logistic Cost (GC)'!M23</f>
        <v>-35.847671871866787</v>
      </c>
      <c r="P156" s="524">
        <f>'5.  Logistic Cost (GC)'!L23</f>
        <v>0</v>
      </c>
      <c r="Q156" s="524">
        <f>'5.  Logistic Cost (GC)'!F23</f>
        <v>4.5202605773135751</v>
      </c>
      <c r="R156" s="524">
        <f>'5.  Logistic Cost (GC)'!G23</f>
        <v>0</v>
      </c>
      <c r="S156" s="524">
        <f>'5.  Logistic Cost (GC)'!H23</f>
        <v>0</v>
      </c>
      <c r="T156" s="524">
        <f>'5.  Logistic Cost (GC)'!I23</f>
        <v>0</v>
      </c>
      <c r="U156" s="524">
        <f>'5.  Logistic Cost (GC)'!J23</f>
        <v>51.393622918434581</v>
      </c>
      <c r="V156" s="524">
        <f>'5.  Logistic Cost (GC)'!K23</f>
        <v>1.1829327031946306</v>
      </c>
      <c r="W156" s="523"/>
      <c r="X156" s="523"/>
      <c r="Y156" s="523"/>
      <c r="Z156" s="523"/>
      <c r="AA156" s="523"/>
      <c r="AB156" s="523"/>
      <c r="AC156" s="523"/>
      <c r="AD156" s="523"/>
      <c r="AE156" s="523"/>
      <c r="AF156" s="523"/>
      <c r="AG156" s="523"/>
      <c r="AH156" s="523"/>
      <c r="AI156" s="523"/>
      <c r="AJ156" s="523"/>
      <c r="AK156" s="523"/>
      <c r="AL156" s="523"/>
      <c r="AM156" s="523"/>
      <c r="AN156" s="523"/>
      <c r="AO156" s="439" t="str">
        <f>'5.  Logistic Cost (GC)'!O23</f>
        <v/>
      </c>
      <c r="AP156" s="439">
        <v>119</v>
      </c>
      <c r="AQ156" s="439" t="str">
        <f>Settings!$A$1</f>
        <v>V2</v>
      </c>
    </row>
    <row r="157" spans="1:44" ht="12.75" customHeight="1" x14ac:dyDescent="0.2">
      <c r="A157" s="439">
        <f>'Input-FX Rates'!$C$4</f>
        <v>242</v>
      </c>
      <c r="B157" s="439" t="str">
        <f>'Input-FX Rates'!$B$4</f>
        <v>ICH Icheon (242)</v>
      </c>
      <c r="C157" s="439">
        <f>'Input-FX Rates'!$C$6</f>
        <v>750</v>
      </c>
      <c r="D157" s="439" t="str">
        <f>'Input-FX Rates'!$B$6</f>
        <v>750 BU Sensorics &amp; Controls</v>
      </c>
      <c r="E157" s="439" t="str">
        <f>'Input-FX Rates'!$C$5</f>
        <v>7521 &amp; 7522</v>
      </c>
      <c r="F157" s="439" t="str">
        <f>'Input-FX Rates'!$B$5</f>
        <v>7521 &amp; 7522 PL Mechatronic Sensors (&amp; Electrification)</v>
      </c>
      <c r="G157" s="439" t="s">
        <v>1440</v>
      </c>
      <c r="H157" s="439" t="s">
        <v>526</v>
      </c>
      <c r="I157" s="523"/>
      <c r="J157" s="523"/>
      <c r="K157" s="524">
        <f>'5.  Logistic Cost (GC)'!B24</f>
        <v>2</v>
      </c>
      <c r="L157" s="524">
        <f>'5.  Logistic Cost (GC)'!C24</f>
        <v>2</v>
      </c>
      <c r="M157" s="524">
        <f>'5.  Logistic Cost (GC)'!D24</f>
        <v>0</v>
      </c>
      <c r="N157" s="524">
        <f>'5.  Logistic Cost (GC)'!E24</f>
        <v>2</v>
      </c>
      <c r="O157" s="524">
        <f>'5.  Logistic Cost (GC)'!M24</f>
        <v>2</v>
      </c>
      <c r="P157" s="524">
        <f>'5.  Logistic Cost (GC)'!L24</f>
        <v>0</v>
      </c>
      <c r="Q157" s="524">
        <f>'5.  Logistic Cost (GC)'!F24</f>
        <v>0</v>
      </c>
      <c r="R157" s="524">
        <f>'5.  Logistic Cost (GC)'!G24</f>
        <v>0</v>
      </c>
      <c r="S157" s="524">
        <f>'5.  Logistic Cost (GC)'!H24</f>
        <v>0</v>
      </c>
      <c r="T157" s="524">
        <f>'5.  Logistic Cost (GC)'!I24</f>
        <v>0</v>
      </c>
      <c r="U157" s="524">
        <f>'5.  Logistic Cost (GC)'!J24</f>
        <v>0</v>
      </c>
      <c r="V157" s="524">
        <f>'5.  Logistic Cost (GC)'!K24</f>
        <v>0</v>
      </c>
      <c r="W157" s="523"/>
      <c r="X157" s="523"/>
      <c r="Y157" s="523"/>
      <c r="Z157" s="523"/>
      <c r="AA157" s="523"/>
      <c r="AB157" s="523"/>
      <c r="AC157" s="523"/>
      <c r="AD157" s="523"/>
      <c r="AE157" s="523"/>
      <c r="AF157" s="523"/>
      <c r="AG157" s="523"/>
      <c r="AH157" s="523"/>
      <c r="AI157" s="523"/>
      <c r="AJ157" s="523"/>
      <c r="AK157" s="523"/>
      <c r="AL157" s="523"/>
      <c r="AM157" s="523"/>
      <c r="AN157" s="523"/>
      <c r="AO157" s="439" t="str">
        <f>'5.  Logistic Cost (GC)'!O24</f>
        <v/>
      </c>
      <c r="AP157" s="439">
        <v>125</v>
      </c>
      <c r="AQ157" s="439" t="str">
        <f>Settings!$A$1</f>
        <v>V2</v>
      </c>
    </row>
    <row r="158" spans="1:44" ht="12.75" customHeight="1" x14ac:dyDescent="0.2">
      <c r="A158" s="439">
        <f>'Input-FX Rates'!$C$4</f>
        <v>242</v>
      </c>
      <c r="B158" s="439" t="str">
        <f>'Input-FX Rates'!$B$4</f>
        <v>ICH Icheon (242)</v>
      </c>
      <c r="C158" s="439">
        <f>'Input-FX Rates'!$C$6</f>
        <v>750</v>
      </c>
      <c r="D158" s="439" t="str">
        <f>'Input-FX Rates'!$B$6</f>
        <v>750 BU Sensorics &amp; Controls</v>
      </c>
      <c r="E158" s="439" t="str">
        <f>'Input-FX Rates'!$C$5</f>
        <v>7521 &amp; 7522</v>
      </c>
      <c r="F158" s="439" t="str">
        <f>'Input-FX Rates'!$B$5</f>
        <v>7521 &amp; 7522 PL Mechatronic Sensors (&amp; Electrification)</v>
      </c>
      <c r="G158" s="439" t="s">
        <v>1440</v>
      </c>
      <c r="H158" s="439" t="s">
        <v>528</v>
      </c>
      <c r="I158" s="523"/>
      <c r="J158" s="523"/>
      <c r="K158" s="524">
        <f>'5.  Logistic Cost (GC)'!B25</f>
        <v>2</v>
      </c>
      <c r="L158" s="524">
        <f>'5.  Logistic Cost (GC)'!C25</f>
        <v>2</v>
      </c>
      <c r="M158" s="524">
        <f>'5.  Logistic Cost (GC)'!D25</f>
        <v>0</v>
      </c>
      <c r="N158" s="524">
        <f>'5.  Logistic Cost (GC)'!E25</f>
        <v>2</v>
      </c>
      <c r="O158" s="524">
        <f>'5.  Logistic Cost (GC)'!M25</f>
        <v>2</v>
      </c>
      <c r="P158" s="524">
        <f>'5.  Logistic Cost (GC)'!L25</f>
        <v>0</v>
      </c>
      <c r="Q158" s="524">
        <f>'5.  Logistic Cost (GC)'!F25</f>
        <v>0</v>
      </c>
      <c r="R158" s="524">
        <f>'5.  Logistic Cost (GC)'!G25</f>
        <v>0</v>
      </c>
      <c r="S158" s="524">
        <f>'5.  Logistic Cost (GC)'!H25</f>
        <v>0</v>
      </c>
      <c r="T158" s="524">
        <f>'5.  Logistic Cost (GC)'!I25</f>
        <v>0</v>
      </c>
      <c r="U158" s="524">
        <f>'5.  Logistic Cost (GC)'!J25</f>
        <v>0</v>
      </c>
      <c r="V158" s="524">
        <f>'5.  Logistic Cost (GC)'!K25</f>
        <v>0</v>
      </c>
      <c r="W158" s="523"/>
      <c r="X158" s="523"/>
      <c r="Y158" s="523"/>
      <c r="Z158" s="523"/>
      <c r="AA158" s="523"/>
      <c r="AB158" s="523"/>
      <c r="AC158" s="523"/>
      <c r="AD158" s="523"/>
      <c r="AE158" s="523"/>
      <c r="AF158" s="523"/>
      <c r="AG158" s="523"/>
      <c r="AH158" s="523"/>
      <c r="AI158" s="523"/>
      <c r="AJ158" s="523"/>
      <c r="AK158" s="523"/>
      <c r="AL158" s="523"/>
      <c r="AM158" s="523"/>
      <c r="AN158" s="523"/>
      <c r="AO158" s="439" t="str">
        <f>'5.  Logistic Cost (GC)'!O25</f>
        <v/>
      </c>
      <c r="AP158" s="439">
        <v>126</v>
      </c>
      <c r="AQ158" s="439" t="str">
        <f>Settings!$A$1</f>
        <v>V2</v>
      </c>
    </row>
    <row r="159" spans="1:44" s="525" customFormat="1" ht="12.75" customHeight="1" x14ac:dyDescent="0.2">
      <c r="A159" s="525">
        <f>'Input-FX Rates'!$C$4</f>
        <v>242</v>
      </c>
      <c r="B159" s="525" t="str">
        <f>'Input-FX Rates'!$B$4</f>
        <v>ICH Icheon (242)</v>
      </c>
      <c r="C159" s="525">
        <f>'Input-FX Rates'!$C$6</f>
        <v>750</v>
      </c>
      <c r="D159" s="525" t="str">
        <f>'Input-FX Rates'!$B$6</f>
        <v>750 BU Sensorics &amp; Controls</v>
      </c>
      <c r="E159" s="525" t="str">
        <f>'Input-FX Rates'!$C$5</f>
        <v>7521 &amp; 7522</v>
      </c>
      <c r="F159" s="525" t="str">
        <f>'Input-FX Rates'!$B$5</f>
        <v>7521 &amp; 7522 PL Mechatronic Sensors (&amp; Electrification)</v>
      </c>
      <c r="G159" s="525" t="s">
        <v>1440</v>
      </c>
      <c r="H159" s="525" t="s">
        <v>529</v>
      </c>
      <c r="I159" s="526"/>
      <c r="J159" s="526"/>
      <c r="K159" s="527">
        <f>'5.  Logistic Cost (GC)'!B26</f>
        <v>0</v>
      </c>
      <c r="L159" s="527">
        <f>'5.  Logistic Cost (GC)'!C26</f>
        <v>0</v>
      </c>
      <c r="M159" s="527">
        <f>'5.  Logistic Cost (GC)'!D26</f>
        <v>0</v>
      </c>
      <c r="N159" s="527">
        <f>'5.  Logistic Cost (GC)'!E26</f>
        <v>0</v>
      </c>
      <c r="O159" s="527">
        <f>'5.  Logistic Cost (GC)'!M26</f>
        <v>0</v>
      </c>
      <c r="P159" s="527">
        <f>'5.  Logistic Cost (GC)'!L26</f>
        <v>0</v>
      </c>
      <c r="Q159" s="527">
        <f>'5.  Logistic Cost (GC)'!F26</f>
        <v>0</v>
      </c>
      <c r="R159" s="527">
        <f>'5.  Logistic Cost (GC)'!G26</f>
        <v>0</v>
      </c>
      <c r="S159" s="527">
        <f>'5.  Logistic Cost (GC)'!H26</f>
        <v>0</v>
      </c>
      <c r="T159" s="527">
        <f>'5.  Logistic Cost (GC)'!I26</f>
        <v>0</v>
      </c>
      <c r="U159" s="527">
        <f>'5.  Logistic Cost (GC)'!J26</f>
        <v>0</v>
      </c>
      <c r="V159" s="527">
        <f>'5.  Logistic Cost (GC)'!K26</f>
        <v>0</v>
      </c>
      <c r="W159" s="526"/>
      <c r="X159" s="526"/>
      <c r="Y159" s="526"/>
      <c r="Z159" s="526"/>
      <c r="AA159" s="526"/>
      <c r="AB159" s="526"/>
      <c r="AC159" s="526"/>
      <c r="AD159" s="526"/>
      <c r="AE159" s="526"/>
      <c r="AF159" s="526"/>
      <c r="AG159" s="526"/>
      <c r="AH159" s="526"/>
      <c r="AI159" s="526"/>
      <c r="AJ159" s="526"/>
      <c r="AK159" s="526"/>
      <c r="AL159" s="526"/>
      <c r="AM159" s="526"/>
      <c r="AN159" s="526"/>
      <c r="AO159" s="525" t="str">
        <f>'5.  Logistic Cost (GC)'!O26</f>
        <v/>
      </c>
      <c r="AP159" s="525">
        <v>127</v>
      </c>
      <c r="AQ159" s="525" t="str">
        <f>Settings!$A$1</f>
        <v>V2</v>
      </c>
    </row>
    <row r="160" spans="1:44" s="843" customFormat="1" ht="12.75" customHeight="1" x14ac:dyDescent="0.2">
      <c r="A160" s="843">
        <f>'Input-FX Rates'!$C$4</f>
        <v>242</v>
      </c>
      <c r="B160" s="843" t="str">
        <f>'Input-FX Rates'!$B$4</f>
        <v>ICH Icheon (242)</v>
      </c>
      <c r="C160" s="843">
        <f>'Input-FX Rates'!$C$6</f>
        <v>750</v>
      </c>
      <c r="D160" s="843" t="str">
        <f>'Input-FX Rates'!$B$6</f>
        <v>750 BU Sensorics &amp; Controls</v>
      </c>
      <c r="E160" s="843" t="str">
        <f>'Input-FX Rates'!$C$5</f>
        <v>7521 &amp; 7522</v>
      </c>
      <c r="F160" s="843" t="str">
        <f>'Input-FX Rates'!$B$5</f>
        <v>7521 &amp; 7522 PL Mechatronic Sensors (&amp; Electrification)</v>
      </c>
      <c r="G160" s="843" t="s">
        <v>1441</v>
      </c>
      <c r="H160" s="843" t="s">
        <v>555</v>
      </c>
      <c r="I160" s="844"/>
      <c r="J160" s="844"/>
      <c r="K160" s="845">
        <f>'5.1 Inventory (GC)'!C8</f>
        <v>270.16440051171992</v>
      </c>
      <c r="L160" s="845">
        <f>'5.1 Inventory (GC)'!D8</f>
        <v>264.41777481023337</v>
      </c>
      <c r="M160" s="844"/>
      <c r="N160" s="844"/>
      <c r="O160" s="845">
        <f>'5.1 Inventory (GC)'!Q8</f>
        <v>131.01941044708462</v>
      </c>
      <c r="P160" s="844"/>
      <c r="Q160" s="844"/>
      <c r="R160" s="844"/>
      <c r="S160" s="844"/>
      <c r="T160" s="844"/>
      <c r="U160" s="844"/>
      <c r="V160" s="844"/>
      <c r="W160" s="845">
        <f>'5.1 Inventory (GC)'!F8</f>
        <v>214.03513414089196</v>
      </c>
      <c r="X160" s="845">
        <f>'5.1 Inventory (GC)'!G8</f>
        <v>226.19405489288278</v>
      </c>
      <c r="Y160" s="845">
        <f>'5.1 Inventory (GC)'!H8</f>
        <v>210.05170832621377</v>
      </c>
      <c r="Z160" s="845">
        <f>'5.1 Inventory (GC)'!I8</f>
        <v>196.64125765296322</v>
      </c>
      <c r="AA160" s="845">
        <f>'5.1 Inventory (GC)'!J8</f>
        <v>192.4225742903977</v>
      </c>
      <c r="AB160" s="845">
        <f>'5.1 Inventory (GC)'!K8</f>
        <v>182.97199982619907</v>
      </c>
      <c r="AC160" s="845">
        <f>'5.1 Inventory (GC)'!L8</f>
        <v>169.94002608791487</v>
      </c>
      <c r="AD160" s="845">
        <f>'5.1 Inventory (GC)'!M8</f>
        <v>164.99745002789393</v>
      </c>
      <c r="AE160" s="845">
        <f>'5.1 Inventory (GC)'!N8</f>
        <v>153.57709903464703</v>
      </c>
      <c r="AF160" s="845">
        <f>'5.1 Inventory (GC)'!O8</f>
        <v>154.36161358616476</v>
      </c>
      <c r="AG160" s="845">
        <f>'5.1 Inventory (GC)'!P8</f>
        <v>141.66715529859499</v>
      </c>
      <c r="AH160" s="845">
        <f>'5.1 Inventory (GC)'!Q8</f>
        <v>131.01941044708462</v>
      </c>
      <c r="AI160" s="844"/>
      <c r="AJ160" s="844"/>
      <c r="AK160" s="844"/>
      <c r="AL160" s="844"/>
      <c r="AM160" s="844"/>
      <c r="AN160" s="844"/>
      <c r="AO160" s="843" t="str">
        <f>'5.1 Inventory (GC)'!S8</f>
        <v/>
      </c>
      <c r="AP160" s="843">
        <v>128</v>
      </c>
      <c r="AQ160" s="843" t="str">
        <f>Settings!$A$1</f>
        <v>V2</v>
      </c>
    </row>
    <row r="161" spans="1:43" s="843" customFormat="1" ht="12.75" customHeight="1" x14ac:dyDescent="0.2">
      <c r="A161" s="843">
        <f>'Input-FX Rates'!$C$4</f>
        <v>242</v>
      </c>
      <c r="B161" s="843" t="str">
        <f>'Input-FX Rates'!$B$4</f>
        <v>ICH Icheon (242)</v>
      </c>
      <c r="C161" s="843">
        <f>'Input-FX Rates'!$C$6</f>
        <v>750</v>
      </c>
      <c r="D161" s="843" t="str">
        <f>'Input-FX Rates'!$B$6</f>
        <v>750 BU Sensorics &amp; Controls</v>
      </c>
      <c r="E161" s="843" t="str">
        <f>'Input-FX Rates'!$C$5</f>
        <v>7521 &amp; 7522</v>
      </c>
      <c r="F161" s="843" t="str">
        <f>'Input-FX Rates'!$B$5</f>
        <v>7521 &amp; 7522 PL Mechatronic Sensors (&amp; Electrification)</v>
      </c>
      <c r="G161" s="843" t="s">
        <v>1441</v>
      </c>
      <c r="H161" s="843" t="s">
        <v>558</v>
      </c>
      <c r="I161" s="844"/>
      <c r="J161" s="844"/>
      <c r="K161" s="845">
        <f>'5.1 Inventory (GC)'!C9</f>
        <v>270.16440051171992</v>
      </c>
      <c r="L161" s="845">
        <f>'5.1 Inventory (GC)'!D9</f>
        <v>92.186962327804324</v>
      </c>
      <c r="M161" s="844"/>
      <c r="N161" s="844"/>
      <c r="O161" s="845">
        <f>'5.1 Inventory (GC)'!Q9</f>
        <v>66.857629427528778</v>
      </c>
      <c r="P161" s="844"/>
      <c r="Q161" s="844"/>
      <c r="R161" s="844"/>
      <c r="S161" s="844"/>
      <c r="T161" s="844"/>
      <c r="U161" s="844"/>
      <c r="V161" s="844"/>
      <c r="W161" s="845">
        <f>'5.1 Inventory (GC)'!F9</f>
        <v>53.485134140891958</v>
      </c>
      <c r="X161" s="845">
        <f>'5.1 Inventory (GC)'!G9</f>
        <v>78.488054892882758</v>
      </c>
      <c r="Y161" s="845">
        <f>'5.1 Inventory (GC)'!H9</f>
        <v>74.16218832621378</v>
      </c>
      <c r="Z161" s="845">
        <f>'5.1 Inventory (GC)'!I9</f>
        <v>71.622899252963222</v>
      </c>
      <c r="AA161" s="845">
        <f>'5.1 Inventory (GC)'!J9</f>
        <v>77.405684562397695</v>
      </c>
      <c r="AB161" s="845">
        <f>'5.1 Inventory (GC)'!K9</f>
        <v>77.15646127643906</v>
      </c>
      <c r="AC161" s="845">
        <f>'5.1 Inventory (GC)'!L9</f>
        <v>72.589730622135647</v>
      </c>
      <c r="AD161" s="845">
        <f>'5.1 Inventory (GC)'!M9</f>
        <v>75.43517819937702</v>
      </c>
      <c r="AE161" s="845">
        <f>'5.1 Inventory (GC)'!N9</f>
        <v>71.179808952411491</v>
      </c>
      <c r="AF161" s="845">
        <f>'5.1 Inventory (GC)'!O9</f>
        <v>78.556106710508047</v>
      </c>
      <c r="AG161" s="845">
        <f>'5.1 Inventory (GC)'!P9</f>
        <v>71.926088972990826</v>
      </c>
      <c r="AH161" s="845">
        <f>'5.1 Inventory (GC)'!Q9</f>
        <v>66.857629427528778</v>
      </c>
      <c r="AI161" s="844"/>
      <c r="AJ161" s="844"/>
      <c r="AK161" s="844"/>
      <c r="AL161" s="844"/>
      <c r="AM161" s="844"/>
      <c r="AN161" s="844"/>
      <c r="AO161" s="843" t="str">
        <f>'5.1 Inventory (GC)'!S9</f>
        <v/>
      </c>
      <c r="AP161" s="843">
        <v>129</v>
      </c>
      <c r="AQ161" s="843" t="str">
        <f>Settings!$A$1</f>
        <v>V2</v>
      </c>
    </row>
    <row r="162" spans="1:43" s="843" customFormat="1" ht="12.75" customHeight="1" x14ac:dyDescent="0.2">
      <c r="A162" s="843">
        <f>'Input-FX Rates'!$C$4</f>
        <v>242</v>
      </c>
      <c r="B162" s="843" t="str">
        <f>'Input-FX Rates'!$B$4</f>
        <v>ICH Icheon (242)</v>
      </c>
      <c r="C162" s="843">
        <f>'Input-FX Rates'!$C$6</f>
        <v>750</v>
      </c>
      <c r="D162" s="843" t="str">
        <f>'Input-FX Rates'!$B$6</f>
        <v>750 BU Sensorics &amp; Controls</v>
      </c>
      <c r="E162" s="843" t="str">
        <f>'Input-FX Rates'!$C$5</f>
        <v>7521 &amp; 7522</v>
      </c>
      <c r="F162" s="843" t="str">
        <f>'Input-FX Rates'!$B$5</f>
        <v>7521 &amp; 7522 PL Mechatronic Sensors (&amp; Electrification)</v>
      </c>
      <c r="G162" s="843" t="s">
        <v>1441</v>
      </c>
      <c r="H162" s="843" t="s">
        <v>559</v>
      </c>
      <c r="I162" s="844"/>
      <c r="J162" s="844"/>
      <c r="K162" s="845">
        <f>'5.1 Inventory (GC)'!C10</f>
        <v>0</v>
      </c>
      <c r="L162" s="845">
        <f>'5.1 Inventory (GC)'!D10</f>
        <v>0</v>
      </c>
      <c r="M162" s="844"/>
      <c r="N162" s="844"/>
      <c r="O162" s="845">
        <f>'5.1 Inventory (GC)'!Q10</f>
        <v>0</v>
      </c>
      <c r="P162" s="844"/>
      <c r="Q162" s="844"/>
      <c r="R162" s="844"/>
      <c r="S162" s="844"/>
      <c r="T162" s="844"/>
      <c r="U162" s="844"/>
      <c r="V162" s="844"/>
      <c r="W162" s="845">
        <f>'5.1 Inventory (GC)'!F10</f>
        <v>0</v>
      </c>
      <c r="X162" s="845">
        <f>'5.1 Inventory (GC)'!G10</f>
        <v>0</v>
      </c>
      <c r="Y162" s="845">
        <f>'5.1 Inventory (GC)'!H10</f>
        <v>0</v>
      </c>
      <c r="Z162" s="845">
        <f>'5.1 Inventory (GC)'!I10</f>
        <v>0</v>
      </c>
      <c r="AA162" s="845">
        <f>'5.1 Inventory (GC)'!J10</f>
        <v>0</v>
      </c>
      <c r="AB162" s="845">
        <f>'5.1 Inventory (GC)'!K10</f>
        <v>0</v>
      </c>
      <c r="AC162" s="845">
        <f>'5.1 Inventory (GC)'!L10</f>
        <v>0</v>
      </c>
      <c r="AD162" s="845">
        <f>'5.1 Inventory (GC)'!M10</f>
        <v>0</v>
      </c>
      <c r="AE162" s="845">
        <f>'5.1 Inventory (GC)'!N10</f>
        <v>0</v>
      </c>
      <c r="AF162" s="845">
        <f>'5.1 Inventory (GC)'!O10</f>
        <v>0</v>
      </c>
      <c r="AG162" s="845">
        <f>'5.1 Inventory (GC)'!P10</f>
        <v>0</v>
      </c>
      <c r="AH162" s="845">
        <f>'5.1 Inventory (GC)'!Q10</f>
        <v>0</v>
      </c>
      <c r="AI162" s="844"/>
      <c r="AJ162" s="844"/>
      <c r="AK162" s="844"/>
      <c r="AL162" s="844"/>
      <c r="AM162" s="844"/>
      <c r="AN162" s="844"/>
      <c r="AO162" s="843" t="str">
        <f>'5.1 Inventory (GC)'!S10</f>
        <v/>
      </c>
      <c r="AP162" s="843">
        <v>130</v>
      </c>
      <c r="AQ162" s="843" t="str">
        <f>Settings!$A$1</f>
        <v>V2</v>
      </c>
    </row>
    <row r="163" spans="1:43" s="843" customFormat="1" ht="12.75" customHeight="1" x14ac:dyDescent="0.2">
      <c r="A163" s="843">
        <f>'Input-FX Rates'!$C$4</f>
        <v>242</v>
      </c>
      <c r="B163" s="843" t="str">
        <f>'Input-FX Rates'!$B$4</f>
        <v>ICH Icheon (242)</v>
      </c>
      <c r="C163" s="843">
        <f>'Input-FX Rates'!$C$6</f>
        <v>750</v>
      </c>
      <c r="D163" s="843" t="str">
        <f>'Input-FX Rates'!$B$6</f>
        <v>750 BU Sensorics &amp; Controls</v>
      </c>
      <c r="E163" s="843" t="str">
        <f>'Input-FX Rates'!$C$5</f>
        <v>7521 &amp; 7522</v>
      </c>
      <c r="F163" s="843" t="str">
        <f>'Input-FX Rates'!$B$5</f>
        <v>7521 &amp; 7522 PL Mechatronic Sensors (&amp; Electrification)</v>
      </c>
      <c r="G163" s="843" t="s">
        <v>1441</v>
      </c>
      <c r="H163" s="843" t="s">
        <v>560</v>
      </c>
      <c r="I163" s="844"/>
      <c r="J163" s="844"/>
      <c r="K163" s="845">
        <f>'5.1 Inventory (GC)'!C11</f>
        <v>0</v>
      </c>
      <c r="L163" s="845">
        <f>'5.1 Inventory (GC)'!D11</f>
        <v>0</v>
      </c>
      <c r="M163" s="844"/>
      <c r="N163" s="844"/>
      <c r="O163" s="845">
        <f>'5.1 Inventory (GC)'!Q11</f>
        <v>0</v>
      </c>
      <c r="P163" s="844"/>
      <c r="Q163" s="844"/>
      <c r="R163" s="844"/>
      <c r="S163" s="844"/>
      <c r="T163" s="844"/>
      <c r="U163" s="844"/>
      <c r="V163" s="844"/>
      <c r="W163" s="845">
        <f>'5.1 Inventory (GC)'!F11</f>
        <v>0</v>
      </c>
      <c r="X163" s="845">
        <f>'5.1 Inventory (GC)'!G11</f>
        <v>0</v>
      </c>
      <c r="Y163" s="845">
        <f>'5.1 Inventory (GC)'!H11</f>
        <v>0</v>
      </c>
      <c r="Z163" s="845">
        <f>'5.1 Inventory (GC)'!I11</f>
        <v>0</v>
      </c>
      <c r="AA163" s="845">
        <f>'5.1 Inventory (GC)'!J11</f>
        <v>0</v>
      </c>
      <c r="AB163" s="845">
        <f>'5.1 Inventory (GC)'!K11</f>
        <v>0</v>
      </c>
      <c r="AC163" s="845">
        <f>'5.1 Inventory (GC)'!L11</f>
        <v>0</v>
      </c>
      <c r="AD163" s="845">
        <f>'5.1 Inventory (GC)'!M11</f>
        <v>0</v>
      </c>
      <c r="AE163" s="845">
        <f>'5.1 Inventory (GC)'!N11</f>
        <v>0</v>
      </c>
      <c r="AF163" s="845">
        <f>'5.1 Inventory (GC)'!O11</f>
        <v>0</v>
      </c>
      <c r="AG163" s="845">
        <f>'5.1 Inventory (GC)'!P11</f>
        <v>0</v>
      </c>
      <c r="AH163" s="845">
        <f>'5.1 Inventory (GC)'!Q11</f>
        <v>0</v>
      </c>
      <c r="AI163" s="844"/>
      <c r="AJ163" s="844"/>
      <c r="AK163" s="844"/>
      <c r="AL163" s="844"/>
      <c r="AM163" s="844"/>
      <c r="AN163" s="844"/>
      <c r="AO163" s="843" t="str">
        <f>'5.1 Inventory (GC)'!S11</f>
        <v/>
      </c>
      <c r="AP163" s="843">
        <v>131</v>
      </c>
      <c r="AQ163" s="843" t="str">
        <f>Settings!$A$1</f>
        <v>V2</v>
      </c>
    </row>
    <row r="164" spans="1:43" s="843" customFormat="1" ht="12.75" customHeight="1" x14ac:dyDescent="0.2">
      <c r="A164" s="843">
        <f>'Input-FX Rates'!$C$4</f>
        <v>242</v>
      </c>
      <c r="B164" s="843" t="str">
        <f>'Input-FX Rates'!$B$4</f>
        <v>ICH Icheon (242)</v>
      </c>
      <c r="C164" s="843">
        <f>'Input-FX Rates'!$C$6</f>
        <v>750</v>
      </c>
      <c r="D164" s="843" t="str">
        <f>'Input-FX Rates'!$B$6</f>
        <v>750 BU Sensorics &amp; Controls</v>
      </c>
      <c r="E164" s="843" t="str">
        <f>'Input-FX Rates'!$C$5</f>
        <v>7521 &amp; 7522</v>
      </c>
      <c r="F164" s="843" t="str">
        <f>'Input-FX Rates'!$B$5</f>
        <v>7521 &amp; 7522 PL Mechatronic Sensors (&amp; Electrification)</v>
      </c>
      <c r="G164" s="843" t="s">
        <v>1441</v>
      </c>
      <c r="H164" s="843" t="s">
        <v>561</v>
      </c>
      <c r="I164" s="844"/>
      <c r="J164" s="844"/>
      <c r="K164" s="845">
        <f>'5.1 Inventory (GC)'!C12</f>
        <v>0</v>
      </c>
      <c r="L164" s="845">
        <f>'5.1 Inventory (GC)'!D12</f>
        <v>0</v>
      </c>
      <c r="M164" s="844"/>
      <c r="N164" s="844"/>
      <c r="O164" s="845">
        <f>'5.1 Inventory (GC)'!Q12</f>
        <v>0</v>
      </c>
      <c r="P164" s="844"/>
      <c r="Q164" s="844"/>
      <c r="R164" s="844"/>
      <c r="S164" s="844"/>
      <c r="T164" s="844"/>
      <c r="U164" s="844"/>
      <c r="V164" s="844"/>
      <c r="W164" s="845">
        <f>'5.1 Inventory (GC)'!F12</f>
        <v>0</v>
      </c>
      <c r="X164" s="845">
        <f>'5.1 Inventory (GC)'!G12</f>
        <v>0</v>
      </c>
      <c r="Y164" s="845">
        <f>'5.1 Inventory (GC)'!H12</f>
        <v>0</v>
      </c>
      <c r="Z164" s="845">
        <f>'5.1 Inventory (GC)'!I12</f>
        <v>0</v>
      </c>
      <c r="AA164" s="845">
        <f>'5.1 Inventory (GC)'!J12</f>
        <v>0</v>
      </c>
      <c r="AB164" s="845">
        <f>'5.1 Inventory (GC)'!K12</f>
        <v>0</v>
      </c>
      <c r="AC164" s="845">
        <f>'5.1 Inventory (GC)'!L12</f>
        <v>0</v>
      </c>
      <c r="AD164" s="845">
        <f>'5.1 Inventory (GC)'!M12</f>
        <v>0</v>
      </c>
      <c r="AE164" s="845">
        <f>'5.1 Inventory (GC)'!N12</f>
        <v>0</v>
      </c>
      <c r="AF164" s="845">
        <f>'5.1 Inventory (GC)'!O12</f>
        <v>0</v>
      </c>
      <c r="AG164" s="845">
        <f>'5.1 Inventory (GC)'!P12</f>
        <v>0</v>
      </c>
      <c r="AH164" s="845">
        <f>'5.1 Inventory (GC)'!Q12</f>
        <v>0</v>
      </c>
      <c r="AI164" s="844"/>
      <c r="AJ164" s="844"/>
      <c r="AK164" s="844"/>
      <c r="AL164" s="844"/>
      <c r="AM164" s="844"/>
      <c r="AN164" s="844"/>
      <c r="AO164" s="843" t="str">
        <f>'5.1 Inventory (GC)'!S12</f>
        <v/>
      </c>
      <c r="AP164" s="843">
        <v>132</v>
      </c>
      <c r="AQ164" s="843" t="str">
        <f>Settings!$A$1</f>
        <v>V2</v>
      </c>
    </row>
    <row r="165" spans="1:43" s="843" customFormat="1" ht="12.75" customHeight="1" x14ac:dyDescent="0.2">
      <c r="A165" s="843">
        <f>'Input-FX Rates'!$C$4</f>
        <v>242</v>
      </c>
      <c r="B165" s="843" t="str">
        <f>'Input-FX Rates'!$B$4</f>
        <v>ICH Icheon (242)</v>
      </c>
      <c r="C165" s="843">
        <f>'Input-FX Rates'!$C$6</f>
        <v>750</v>
      </c>
      <c r="D165" s="843" t="str">
        <f>'Input-FX Rates'!$B$6</f>
        <v>750 BU Sensorics &amp; Controls</v>
      </c>
      <c r="E165" s="843" t="str">
        <f>'Input-FX Rates'!$C$5</f>
        <v>7521 &amp; 7522</v>
      </c>
      <c r="F165" s="843" t="str">
        <f>'Input-FX Rates'!$B$5</f>
        <v>7521 &amp; 7522 PL Mechatronic Sensors (&amp; Electrification)</v>
      </c>
      <c r="G165" s="843" t="s">
        <v>1441</v>
      </c>
      <c r="H165" s="843" t="s">
        <v>562</v>
      </c>
      <c r="I165" s="844"/>
      <c r="J165" s="844"/>
      <c r="K165" s="845">
        <f>'5.1 Inventory (GC)'!C13</f>
        <v>0</v>
      </c>
      <c r="L165" s="845">
        <f>'5.1 Inventory (GC)'!D13</f>
        <v>0</v>
      </c>
      <c r="M165" s="844"/>
      <c r="N165" s="844"/>
      <c r="O165" s="845">
        <f>'5.1 Inventory (GC)'!Q13</f>
        <v>0</v>
      </c>
      <c r="P165" s="844"/>
      <c r="Q165" s="844"/>
      <c r="R165" s="844"/>
      <c r="S165" s="844"/>
      <c r="T165" s="844"/>
      <c r="U165" s="844"/>
      <c r="V165" s="844"/>
      <c r="W165" s="845">
        <f>'5.1 Inventory (GC)'!F13</f>
        <v>0</v>
      </c>
      <c r="X165" s="845">
        <f>'5.1 Inventory (GC)'!G13</f>
        <v>0</v>
      </c>
      <c r="Y165" s="845">
        <f>'5.1 Inventory (GC)'!H13</f>
        <v>0</v>
      </c>
      <c r="Z165" s="845">
        <f>'5.1 Inventory (GC)'!I13</f>
        <v>0</v>
      </c>
      <c r="AA165" s="845">
        <f>'5.1 Inventory (GC)'!J13</f>
        <v>0</v>
      </c>
      <c r="AB165" s="845">
        <f>'5.1 Inventory (GC)'!K13</f>
        <v>0</v>
      </c>
      <c r="AC165" s="845">
        <f>'5.1 Inventory (GC)'!L13</f>
        <v>0</v>
      </c>
      <c r="AD165" s="845">
        <f>'5.1 Inventory (GC)'!M13</f>
        <v>0</v>
      </c>
      <c r="AE165" s="845">
        <f>'5.1 Inventory (GC)'!N13</f>
        <v>0</v>
      </c>
      <c r="AF165" s="845">
        <f>'5.1 Inventory (GC)'!O13</f>
        <v>0</v>
      </c>
      <c r="AG165" s="845">
        <f>'5.1 Inventory (GC)'!P13</f>
        <v>0</v>
      </c>
      <c r="AH165" s="845">
        <f>'5.1 Inventory (GC)'!Q13</f>
        <v>0</v>
      </c>
      <c r="AI165" s="844"/>
      <c r="AJ165" s="844"/>
      <c r="AK165" s="844"/>
      <c r="AL165" s="844"/>
      <c r="AM165" s="844"/>
      <c r="AN165" s="844"/>
      <c r="AO165" s="843" t="str">
        <f>'5.1 Inventory (GC)'!S13</f>
        <v/>
      </c>
      <c r="AP165" s="843">
        <v>133</v>
      </c>
      <c r="AQ165" s="843" t="str">
        <f>Settings!$A$1</f>
        <v>V2</v>
      </c>
    </row>
    <row r="166" spans="1:43" s="843" customFormat="1" ht="12.75" customHeight="1" x14ac:dyDescent="0.2">
      <c r="A166" s="843">
        <f>'Input-FX Rates'!$C$4</f>
        <v>242</v>
      </c>
      <c r="B166" s="843" t="str">
        <f>'Input-FX Rates'!$B$4</f>
        <v>ICH Icheon (242)</v>
      </c>
      <c r="C166" s="843">
        <f>'Input-FX Rates'!$C$6</f>
        <v>750</v>
      </c>
      <c r="D166" s="843" t="str">
        <f>'Input-FX Rates'!$B$6</f>
        <v>750 BU Sensorics &amp; Controls</v>
      </c>
      <c r="E166" s="843" t="str">
        <f>'Input-FX Rates'!$C$5</f>
        <v>7521 &amp; 7522</v>
      </c>
      <c r="F166" s="843" t="str">
        <f>'Input-FX Rates'!$B$5</f>
        <v>7521 &amp; 7522 PL Mechatronic Sensors (&amp; Electrification)</v>
      </c>
      <c r="G166" s="843" t="s">
        <v>1441</v>
      </c>
      <c r="H166" s="843" t="s">
        <v>564</v>
      </c>
      <c r="I166" s="844"/>
      <c r="J166" s="844"/>
      <c r="K166" s="845">
        <f>'5.1 Inventory (GC)'!C14</f>
        <v>0</v>
      </c>
      <c r="L166" s="845">
        <f>'5.1 Inventory (GC)'!D14</f>
        <v>0</v>
      </c>
      <c r="M166" s="844"/>
      <c r="N166" s="844"/>
      <c r="O166" s="845">
        <f>'5.1 Inventory (GC)'!Q14</f>
        <v>0</v>
      </c>
      <c r="P166" s="844"/>
      <c r="Q166" s="844"/>
      <c r="R166" s="844"/>
      <c r="S166" s="844"/>
      <c r="T166" s="844"/>
      <c r="U166" s="844"/>
      <c r="V166" s="844"/>
      <c r="W166" s="845">
        <f>'5.1 Inventory (GC)'!F14</f>
        <v>0</v>
      </c>
      <c r="X166" s="845">
        <f>'5.1 Inventory (GC)'!G14</f>
        <v>0</v>
      </c>
      <c r="Y166" s="845">
        <f>'5.1 Inventory (GC)'!H14</f>
        <v>0</v>
      </c>
      <c r="Z166" s="845">
        <f>'5.1 Inventory (GC)'!I14</f>
        <v>0</v>
      </c>
      <c r="AA166" s="845">
        <f>'5.1 Inventory (GC)'!J14</f>
        <v>0</v>
      </c>
      <c r="AB166" s="845">
        <f>'5.1 Inventory (GC)'!K14</f>
        <v>0</v>
      </c>
      <c r="AC166" s="845">
        <f>'5.1 Inventory (GC)'!L14</f>
        <v>0</v>
      </c>
      <c r="AD166" s="845">
        <f>'5.1 Inventory (GC)'!M14</f>
        <v>0</v>
      </c>
      <c r="AE166" s="845">
        <f>'5.1 Inventory (GC)'!N14</f>
        <v>0</v>
      </c>
      <c r="AF166" s="845">
        <f>'5.1 Inventory (GC)'!O14</f>
        <v>0</v>
      </c>
      <c r="AG166" s="845">
        <f>'5.1 Inventory (GC)'!P14</f>
        <v>0</v>
      </c>
      <c r="AH166" s="845">
        <f>'5.1 Inventory (GC)'!Q14</f>
        <v>0</v>
      </c>
      <c r="AI166" s="844"/>
      <c r="AJ166" s="844"/>
      <c r="AK166" s="844"/>
      <c r="AL166" s="844"/>
      <c r="AM166" s="844"/>
      <c r="AN166" s="844"/>
      <c r="AO166" s="843" t="str">
        <f>'5.1 Inventory (GC)'!S14</f>
        <v/>
      </c>
      <c r="AP166" s="843">
        <v>134</v>
      </c>
      <c r="AQ166" s="843" t="str">
        <f>Settings!$A$1</f>
        <v>V2</v>
      </c>
    </row>
    <row r="167" spans="1:43" s="843" customFormat="1" ht="12.75" customHeight="1" x14ac:dyDescent="0.2">
      <c r="A167" s="843">
        <f>'Input-FX Rates'!$C$4</f>
        <v>242</v>
      </c>
      <c r="B167" s="843" t="str">
        <f>'Input-FX Rates'!$B$4</f>
        <v>ICH Icheon (242)</v>
      </c>
      <c r="C167" s="843">
        <f>'Input-FX Rates'!$C$6</f>
        <v>750</v>
      </c>
      <c r="D167" s="843" t="str">
        <f>'Input-FX Rates'!$B$6</f>
        <v>750 BU Sensorics &amp; Controls</v>
      </c>
      <c r="E167" s="843" t="str">
        <f>'Input-FX Rates'!$C$5</f>
        <v>7521 &amp; 7522</v>
      </c>
      <c r="F167" s="843" t="str">
        <f>'Input-FX Rates'!$B$5</f>
        <v>7521 &amp; 7522 PL Mechatronic Sensors (&amp; Electrification)</v>
      </c>
      <c r="G167" s="843" t="s">
        <v>1441</v>
      </c>
      <c r="H167" s="843" t="s">
        <v>565</v>
      </c>
      <c r="I167" s="844"/>
      <c r="J167" s="844"/>
      <c r="K167" s="845">
        <f>'5.1 Inventory (GC)'!C15</f>
        <v>0</v>
      </c>
      <c r="L167" s="845">
        <f>'5.1 Inventory (GC)'!D15</f>
        <v>0</v>
      </c>
      <c r="M167" s="844"/>
      <c r="N167" s="844"/>
      <c r="O167" s="845">
        <f>'5.1 Inventory (GC)'!Q15</f>
        <v>0</v>
      </c>
      <c r="P167" s="844"/>
      <c r="Q167" s="844"/>
      <c r="R167" s="844"/>
      <c r="S167" s="844"/>
      <c r="T167" s="844"/>
      <c r="U167" s="844"/>
      <c r="V167" s="844"/>
      <c r="W167" s="845">
        <f>'5.1 Inventory (GC)'!F15</f>
        <v>0</v>
      </c>
      <c r="X167" s="845">
        <f>'5.1 Inventory (GC)'!G15</f>
        <v>0</v>
      </c>
      <c r="Y167" s="845">
        <f>'5.1 Inventory (GC)'!H15</f>
        <v>0</v>
      </c>
      <c r="Z167" s="845">
        <f>'5.1 Inventory (GC)'!I15</f>
        <v>0</v>
      </c>
      <c r="AA167" s="845">
        <f>'5.1 Inventory (GC)'!J15</f>
        <v>0</v>
      </c>
      <c r="AB167" s="845">
        <f>'5.1 Inventory (GC)'!K15</f>
        <v>0</v>
      </c>
      <c r="AC167" s="845">
        <f>'5.1 Inventory (GC)'!L15</f>
        <v>0</v>
      </c>
      <c r="AD167" s="845">
        <f>'5.1 Inventory (GC)'!M15</f>
        <v>0</v>
      </c>
      <c r="AE167" s="845">
        <f>'5.1 Inventory (GC)'!N15</f>
        <v>0</v>
      </c>
      <c r="AF167" s="845">
        <f>'5.1 Inventory (GC)'!O15</f>
        <v>0</v>
      </c>
      <c r="AG167" s="845">
        <f>'5.1 Inventory (GC)'!P15</f>
        <v>0</v>
      </c>
      <c r="AH167" s="845">
        <f>'5.1 Inventory (GC)'!Q15</f>
        <v>0</v>
      </c>
      <c r="AI167" s="844"/>
      <c r="AJ167" s="844"/>
      <c r="AK167" s="844"/>
      <c r="AL167" s="844"/>
      <c r="AM167" s="844"/>
      <c r="AN167" s="844"/>
      <c r="AO167" s="843" t="str">
        <f>'5.1 Inventory (GC)'!S15</f>
        <v/>
      </c>
      <c r="AP167" s="843">
        <v>135</v>
      </c>
      <c r="AQ167" s="843" t="str">
        <f>Settings!$A$1</f>
        <v>V2</v>
      </c>
    </row>
    <row r="168" spans="1:43" s="843" customFormat="1" ht="12.75" customHeight="1" x14ac:dyDescent="0.2">
      <c r="A168" s="843">
        <f>'Input-FX Rates'!$C$4</f>
        <v>242</v>
      </c>
      <c r="B168" s="843" t="str">
        <f>'Input-FX Rates'!$B$4</f>
        <v>ICH Icheon (242)</v>
      </c>
      <c r="C168" s="843">
        <f>'Input-FX Rates'!$C$6</f>
        <v>750</v>
      </c>
      <c r="D168" s="843" t="str">
        <f>'Input-FX Rates'!$B$6</f>
        <v>750 BU Sensorics &amp; Controls</v>
      </c>
      <c r="E168" s="843" t="str">
        <f>'Input-FX Rates'!$C$5</f>
        <v>7521 &amp; 7522</v>
      </c>
      <c r="F168" s="843" t="str">
        <f>'Input-FX Rates'!$B$5</f>
        <v>7521 &amp; 7522 PL Mechatronic Sensors (&amp; Electrification)</v>
      </c>
      <c r="G168" s="843" t="s">
        <v>1441</v>
      </c>
      <c r="H168" s="843" t="s">
        <v>566</v>
      </c>
      <c r="I168" s="844"/>
      <c r="J168" s="844"/>
      <c r="K168" s="845">
        <f>'5.1 Inventory (GC)'!C16</f>
        <v>0</v>
      </c>
      <c r="L168" s="845">
        <f>'5.1 Inventory (GC)'!D16</f>
        <v>0</v>
      </c>
      <c r="M168" s="844"/>
      <c r="N168" s="844"/>
      <c r="O168" s="845">
        <f>'5.1 Inventory (GC)'!Q16</f>
        <v>0</v>
      </c>
      <c r="P168" s="844"/>
      <c r="Q168" s="844"/>
      <c r="R168" s="844"/>
      <c r="S168" s="844"/>
      <c r="T168" s="844"/>
      <c r="U168" s="844"/>
      <c r="V168" s="844"/>
      <c r="W168" s="845">
        <f>'5.1 Inventory (GC)'!F16</f>
        <v>0</v>
      </c>
      <c r="X168" s="845">
        <f>'5.1 Inventory (GC)'!G16</f>
        <v>0</v>
      </c>
      <c r="Y168" s="845">
        <f>'5.1 Inventory (GC)'!H16</f>
        <v>0</v>
      </c>
      <c r="Z168" s="845">
        <f>'5.1 Inventory (GC)'!I16</f>
        <v>0</v>
      </c>
      <c r="AA168" s="845">
        <f>'5.1 Inventory (GC)'!J16</f>
        <v>0</v>
      </c>
      <c r="AB168" s="845">
        <f>'5.1 Inventory (GC)'!K16</f>
        <v>0</v>
      </c>
      <c r="AC168" s="845">
        <f>'5.1 Inventory (GC)'!L16</f>
        <v>0</v>
      </c>
      <c r="AD168" s="845">
        <f>'5.1 Inventory (GC)'!M16</f>
        <v>0</v>
      </c>
      <c r="AE168" s="845">
        <f>'5.1 Inventory (GC)'!N16</f>
        <v>0</v>
      </c>
      <c r="AF168" s="845">
        <f>'5.1 Inventory (GC)'!O16</f>
        <v>0</v>
      </c>
      <c r="AG168" s="845">
        <f>'5.1 Inventory (GC)'!P16</f>
        <v>0</v>
      </c>
      <c r="AH168" s="845">
        <f>'5.1 Inventory (GC)'!Q16</f>
        <v>0</v>
      </c>
      <c r="AI168" s="844"/>
      <c r="AJ168" s="844"/>
      <c r="AK168" s="844"/>
      <c r="AL168" s="844"/>
      <c r="AM168" s="844"/>
      <c r="AN168" s="844"/>
      <c r="AO168" s="843" t="str">
        <f>'5.1 Inventory (GC)'!S16</f>
        <v/>
      </c>
      <c r="AP168" s="843">
        <v>136</v>
      </c>
      <c r="AQ168" s="843" t="str">
        <f>Settings!$A$1</f>
        <v>V2</v>
      </c>
    </row>
    <row r="169" spans="1:43" s="843" customFormat="1" ht="12.75" customHeight="1" x14ac:dyDescent="0.2">
      <c r="A169" s="843">
        <f>'Input-FX Rates'!$C$4</f>
        <v>242</v>
      </c>
      <c r="B169" s="843" t="str">
        <f>'Input-FX Rates'!$B$4</f>
        <v>ICH Icheon (242)</v>
      </c>
      <c r="C169" s="843">
        <f>'Input-FX Rates'!$C$6</f>
        <v>750</v>
      </c>
      <c r="D169" s="843" t="str">
        <f>'Input-FX Rates'!$B$6</f>
        <v>750 BU Sensorics &amp; Controls</v>
      </c>
      <c r="E169" s="843" t="str">
        <f>'Input-FX Rates'!$C$5</f>
        <v>7521 &amp; 7522</v>
      </c>
      <c r="F169" s="843" t="str">
        <f>'Input-FX Rates'!$B$5</f>
        <v>7521 &amp; 7522 PL Mechatronic Sensors (&amp; Electrification)</v>
      </c>
      <c r="G169" s="843" t="s">
        <v>1441</v>
      </c>
      <c r="H169" s="843" t="s">
        <v>567</v>
      </c>
      <c r="I169" s="844"/>
      <c r="J169" s="844"/>
      <c r="K169" s="845">
        <f>'5.1 Inventory (GC)'!C17</f>
        <v>0</v>
      </c>
      <c r="L169" s="845">
        <f>'5.1 Inventory (GC)'!D17</f>
        <v>0</v>
      </c>
      <c r="M169" s="844"/>
      <c r="N169" s="844"/>
      <c r="O169" s="845">
        <f>'5.1 Inventory (GC)'!Q17</f>
        <v>0</v>
      </c>
      <c r="P169" s="844"/>
      <c r="Q169" s="844"/>
      <c r="R169" s="844"/>
      <c r="S169" s="844"/>
      <c r="T169" s="844"/>
      <c r="U169" s="844"/>
      <c r="V169" s="844"/>
      <c r="W169" s="845">
        <f>'5.1 Inventory (GC)'!F17</f>
        <v>0</v>
      </c>
      <c r="X169" s="845">
        <f>'5.1 Inventory (GC)'!G17</f>
        <v>0</v>
      </c>
      <c r="Y169" s="845">
        <f>'5.1 Inventory (GC)'!H17</f>
        <v>0</v>
      </c>
      <c r="Z169" s="845">
        <f>'5.1 Inventory (GC)'!I17</f>
        <v>0</v>
      </c>
      <c r="AA169" s="845">
        <f>'5.1 Inventory (GC)'!J17</f>
        <v>0</v>
      </c>
      <c r="AB169" s="845">
        <f>'5.1 Inventory (GC)'!K17</f>
        <v>0</v>
      </c>
      <c r="AC169" s="845">
        <f>'5.1 Inventory (GC)'!L17</f>
        <v>0</v>
      </c>
      <c r="AD169" s="845">
        <f>'5.1 Inventory (GC)'!M17</f>
        <v>0</v>
      </c>
      <c r="AE169" s="845">
        <f>'5.1 Inventory (GC)'!N17</f>
        <v>0</v>
      </c>
      <c r="AF169" s="845">
        <f>'5.1 Inventory (GC)'!O17</f>
        <v>0</v>
      </c>
      <c r="AG169" s="845">
        <f>'5.1 Inventory (GC)'!P17</f>
        <v>0</v>
      </c>
      <c r="AH169" s="845">
        <f>'5.1 Inventory (GC)'!Q17</f>
        <v>0</v>
      </c>
      <c r="AI169" s="844"/>
      <c r="AJ169" s="844"/>
      <c r="AK169" s="844"/>
      <c r="AL169" s="844"/>
      <c r="AM169" s="844"/>
      <c r="AN169" s="844"/>
      <c r="AO169" s="843" t="str">
        <f>'5.1 Inventory (GC)'!S17</f>
        <v/>
      </c>
      <c r="AP169" s="843">
        <v>137</v>
      </c>
      <c r="AQ169" s="843" t="str">
        <f>Settings!$A$1</f>
        <v>V2</v>
      </c>
    </row>
    <row r="170" spans="1:43" s="843" customFormat="1" ht="12.75" customHeight="1" x14ac:dyDescent="0.2">
      <c r="A170" s="843">
        <f>'Input-FX Rates'!$C$4</f>
        <v>242</v>
      </c>
      <c r="B170" s="843" t="str">
        <f>'Input-FX Rates'!$B$4</f>
        <v>ICH Icheon (242)</v>
      </c>
      <c r="C170" s="843">
        <f>'Input-FX Rates'!$C$6</f>
        <v>750</v>
      </c>
      <c r="D170" s="843" t="str">
        <f>'Input-FX Rates'!$B$6</f>
        <v>750 BU Sensorics &amp; Controls</v>
      </c>
      <c r="E170" s="843" t="str">
        <f>'Input-FX Rates'!$C$5</f>
        <v>7521 &amp; 7522</v>
      </c>
      <c r="F170" s="843" t="str">
        <f>'Input-FX Rates'!$B$5</f>
        <v>7521 &amp; 7522 PL Mechatronic Sensors (&amp; Electrification)</v>
      </c>
      <c r="G170" s="843" t="s">
        <v>1441</v>
      </c>
      <c r="H170" s="843" t="s">
        <v>561</v>
      </c>
      <c r="I170" s="844"/>
      <c r="J170" s="844"/>
      <c r="K170" s="845">
        <f>'5.1 Inventory (GC)'!C18</f>
        <v>0</v>
      </c>
      <c r="L170" s="845">
        <f>'5.1 Inventory (GC)'!D18</f>
        <v>0</v>
      </c>
      <c r="M170" s="844"/>
      <c r="N170" s="844"/>
      <c r="O170" s="845">
        <f>'5.1 Inventory (GC)'!Q18</f>
        <v>0</v>
      </c>
      <c r="P170" s="844"/>
      <c r="Q170" s="844"/>
      <c r="R170" s="844"/>
      <c r="S170" s="844"/>
      <c r="T170" s="844"/>
      <c r="U170" s="844"/>
      <c r="V170" s="844"/>
      <c r="W170" s="845">
        <f>'5.1 Inventory (GC)'!F18</f>
        <v>0</v>
      </c>
      <c r="X170" s="845">
        <f>'5.1 Inventory (GC)'!G18</f>
        <v>0</v>
      </c>
      <c r="Y170" s="845">
        <f>'5.1 Inventory (GC)'!H18</f>
        <v>0</v>
      </c>
      <c r="Z170" s="845">
        <f>'5.1 Inventory (GC)'!I18</f>
        <v>0</v>
      </c>
      <c r="AA170" s="845">
        <f>'5.1 Inventory (GC)'!J18</f>
        <v>0</v>
      </c>
      <c r="AB170" s="845">
        <f>'5.1 Inventory (GC)'!K18</f>
        <v>0</v>
      </c>
      <c r="AC170" s="845">
        <f>'5.1 Inventory (GC)'!L18</f>
        <v>0</v>
      </c>
      <c r="AD170" s="845">
        <f>'5.1 Inventory (GC)'!M18</f>
        <v>0</v>
      </c>
      <c r="AE170" s="845">
        <f>'5.1 Inventory (GC)'!N18</f>
        <v>0</v>
      </c>
      <c r="AF170" s="845">
        <f>'5.1 Inventory (GC)'!O18</f>
        <v>0</v>
      </c>
      <c r="AG170" s="845">
        <f>'5.1 Inventory (GC)'!P18</f>
        <v>0</v>
      </c>
      <c r="AH170" s="845">
        <f>'5.1 Inventory (GC)'!Q18</f>
        <v>0</v>
      </c>
      <c r="AI170" s="844"/>
      <c r="AJ170" s="844"/>
      <c r="AK170" s="844"/>
      <c r="AL170" s="844"/>
      <c r="AM170" s="844"/>
      <c r="AN170" s="844"/>
      <c r="AO170" s="843" t="str">
        <f>'5.1 Inventory (GC)'!S18</f>
        <v/>
      </c>
      <c r="AP170" s="843">
        <v>138</v>
      </c>
      <c r="AQ170" s="843" t="str">
        <f>Settings!$A$1</f>
        <v>V2</v>
      </c>
    </row>
    <row r="171" spans="1:43" s="843" customFormat="1" ht="12.75" customHeight="1" x14ac:dyDescent="0.2">
      <c r="A171" s="843">
        <f>'Input-FX Rates'!$C$4</f>
        <v>242</v>
      </c>
      <c r="B171" s="843" t="str">
        <f>'Input-FX Rates'!$B$4</f>
        <v>ICH Icheon (242)</v>
      </c>
      <c r="C171" s="843">
        <f>'Input-FX Rates'!$C$6</f>
        <v>750</v>
      </c>
      <c r="D171" s="843" t="str">
        <f>'Input-FX Rates'!$B$6</f>
        <v>750 BU Sensorics &amp; Controls</v>
      </c>
      <c r="E171" s="843" t="str">
        <f>'Input-FX Rates'!$C$5</f>
        <v>7521 &amp; 7522</v>
      </c>
      <c r="F171" s="843" t="str">
        <f>'Input-FX Rates'!$B$5</f>
        <v>7521 &amp; 7522 PL Mechatronic Sensors (&amp; Electrification)</v>
      </c>
      <c r="G171" s="843" t="s">
        <v>1441</v>
      </c>
      <c r="H171" s="843" t="s">
        <v>568</v>
      </c>
      <c r="I171" s="844"/>
      <c r="J171" s="844"/>
      <c r="K171" s="845">
        <f>'5.1 Inventory (GC)'!C19</f>
        <v>0</v>
      </c>
      <c r="L171" s="845">
        <f>'5.1 Inventory (GC)'!D19</f>
        <v>0</v>
      </c>
      <c r="M171" s="844"/>
      <c r="N171" s="844"/>
      <c r="O171" s="845">
        <f>'5.1 Inventory (GC)'!Q19</f>
        <v>0</v>
      </c>
      <c r="P171" s="844"/>
      <c r="Q171" s="844"/>
      <c r="R171" s="844"/>
      <c r="S171" s="844"/>
      <c r="T171" s="844"/>
      <c r="U171" s="844"/>
      <c r="V171" s="844"/>
      <c r="W171" s="845">
        <f>'5.1 Inventory (GC)'!F19</f>
        <v>0</v>
      </c>
      <c r="X171" s="845">
        <f>'5.1 Inventory (GC)'!G19</f>
        <v>0</v>
      </c>
      <c r="Y171" s="845">
        <f>'5.1 Inventory (GC)'!H19</f>
        <v>0</v>
      </c>
      <c r="Z171" s="845">
        <f>'5.1 Inventory (GC)'!I19</f>
        <v>0</v>
      </c>
      <c r="AA171" s="845">
        <f>'5.1 Inventory (GC)'!J19</f>
        <v>0</v>
      </c>
      <c r="AB171" s="845">
        <f>'5.1 Inventory (GC)'!K19</f>
        <v>0</v>
      </c>
      <c r="AC171" s="845">
        <f>'5.1 Inventory (GC)'!L19</f>
        <v>0</v>
      </c>
      <c r="AD171" s="845">
        <f>'5.1 Inventory (GC)'!M19</f>
        <v>0</v>
      </c>
      <c r="AE171" s="845">
        <f>'5.1 Inventory (GC)'!N19</f>
        <v>0</v>
      </c>
      <c r="AF171" s="845">
        <f>'5.1 Inventory (GC)'!O19</f>
        <v>0</v>
      </c>
      <c r="AG171" s="845">
        <f>'5.1 Inventory (GC)'!P19</f>
        <v>0</v>
      </c>
      <c r="AH171" s="845">
        <f>'5.1 Inventory (GC)'!Q19</f>
        <v>0</v>
      </c>
      <c r="AI171" s="844"/>
      <c r="AJ171" s="844"/>
      <c r="AK171" s="844"/>
      <c r="AL171" s="844"/>
      <c r="AM171" s="844"/>
      <c r="AN171" s="844"/>
      <c r="AO171" s="843" t="str">
        <f>'5.1 Inventory (GC)'!S19</f>
        <v/>
      </c>
      <c r="AP171" s="843">
        <v>139</v>
      </c>
      <c r="AQ171" s="843" t="str">
        <f>Settings!$A$1</f>
        <v>V2</v>
      </c>
    </row>
    <row r="172" spans="1:43" s="843" customFormat="1" ht="12.75" customHeight="1" x14ac:dyDescent="0.2">
      <c r="A172" s="843">
        <f>'Input-FX Rates'!$C$4</f>
        <v>242</v>
      </c>
      <c r="B172" s="843" t="str">
        <f>'Input-FX Rates'!$B$4</f>
        <v>ICH Icheon (242)</v>
      </c>
      <c r="C172" s="843">
        <f>'Input-FX Rates'!$C$6</f>
        <v>750</v>
      </c>
      <c r="D172" s="843" t="str">
        <f>'Input-FX Rates'!$B$6</f>
        <v>750 BU Sensorics &amp; Controls</v>
      </c>
      <c r="E172" s="843" t="str">
        <f>'Input-FX Rates'!$C$5</f>
        <v>7521 &amp; 7522</v>
      </c>
      <c r="F172" s="843" t="str">
        <f>'Input-FX Rates'!$B$5</f>
        <v>7521 &amp; 7522 PL Mechatronic Sensors (&amp; Electrification)</v>
      </c>
      <c r="G172" s="843" t="s">
        <v>1441</v>
      </c>
      <c r="H172" s="843" t="s">
        <v>562</v>
      </c>
      <c r="I172" s="844"/>
      <c r="J172" s="844"/>
      <c r="K172" s="845">
        <f>'5.1 Inventory (GC)'!C20</f>
        <v>0</v>
      </c>
      <c r="L172" s="845">
        <f>'5.1 Inventory (GC)'!D20</f>
        <v>0</v>
      </c>
      <c r="M172" s="844"/>
      <c r="N172" s="844"/>
      <c r="O172" s="845">
        <f>'5.1 Inventory (GC)'!Q20</f>
        <v>0</v>
      </c>
      <c r="P172" s="844"/>
      <c r="Q172" s="844"/>
      <c r="R172" s="844"/>
      <c r="S172" s="844"/>
      <c r="T172" s="844"/>
      <c r="U172" s="844"/>
      <c r="V172" s="844"/>
      <c r="W172" s="845">
        <f>'5.1 Inventory (GC)'!F20</f>
        <v>0</v>
      </c>
      <c r="X172" s="845">
        <f>'5.1 Inventory (GC)'!G20</f>
        <v>0</v>
      </c>
      <c r="Y172" s="845">
        <f>'5.1 Inventory (GC)'!H20</f>
        <v>0</v>
      </c>
      <c r="Z172" s="845">
        <f>'5.1 Inventory (GC)'!I20</f>
        <v>0</v>
      </c>
      <c r="AA172" s="845">
        <f>'5.1 Inventory (GC)'!J20</f>
        <v>0</v>
      </c>
      <c r="AB172" s="845">
        <f>'5.1 Inventory (GC)'!K20</f>
        <v>0</v>
      </c>
      <c r="AC172" s="845">
        <f>'5.1 Inventory (GC)'!L20</f>
        <v>0</v>
      </c>
      <c r="AD172" s="845">
        <f>'5.1 Inventory (GC)'!M20</f>
        <v>0</v>
      </c>
      <c r="AE172" s="845">
        <f>'5.1 Inventory (GC)'!N20</f>
        <v>0</v>
      </c>
      <c r="AF172" s="845">
        <f>'5.1 Inventory (GC)'!O20</f>
        <v>0</v>
      </c>
      <c r="AG172" s="845">
        <f>'5.1 Inventory (GC)'!P20</f>
        <v>0</v>
      </c>
      <c r="AH172" s="845">
        <f>'5.1 Inventory (GC)'!Q20</f>
        <v>0</v>
      </c>
      <c r="AI172" s="844"/>
      <c r="AJ172" s="844"/>
      <c r="AK172" s="844"/>
      <c r="AL172" s="844"/>
      <c r="AM172" s="844"/>
      <c r="AN172" s="844"/>
      <c r="AO172" s="843" t="str">
        <f>'5.1 Inventory (GC)'!S20</f>
        <v/>
      </c>
      <c r="AP172" s="843">
        <v>140</v>
      </c>
      <c r="AQ172" s="843" t="str">
        <f>Settings!$A$1</f>
        <v>V2</v>
      </c>
    </row>
    <row r="173" spans="1:43" s="843" customFormat="1" ht="12.75" customHeight="1" x14ac:dyDescent="0.2">
      <c r="A173" s="843">
        <f>'Input-FX Rates'!$C$4</f>
        <v>242</v>
      </c>
      <c r="B173" s="843" t="str">
        <f>'Input-FX Rates'!$B$4</f>
        <v>ICH Icheon (242)</v>
      </c>
      <c r="C173" s="843">
        <f>'Input-FX Rates'!$C$6</f>
        <v>750</v>
      </c>
      <c r="D173" s="843" t="str">
        <f>'Input-FX Rates'!$B$6</f>
        <v>750 BU Sensorics &amp; Controls</v>
      </c>
      <c r="E173" s="843" t="str">
        <f>'Input-FX Rates'!$C$5</f>
        <v>7521 &amp; 7522</v>
      </c>
      <c r="F173" s="843" t="str">
        <f>'Input-FX Rates'!$B$5</f>
        <v>7521 &amp; 7522 PL Mechatronic Sensors (&amp; Electrification)</v>
      </c>
      <c r="G173" s="843" t="s">
        <v>1441</v>
      </c>
      <c r="H173" s="843" t="s">
        <v>569</v>
      </c>
      <c r="I173" s="844"/>
      <c r="J173" s="844"/>
      <c r="K173" s="845">
        <f>'5.1 Inventory (GC)'!C21</f>
        <v>0</v>
      </c>
      <c r="L173" s="845">
        <f>'5.1 Inventory (GC)'!D21</f>
        <v>0</v>
      </c>
      <c r="M173" s="844"/>
      <c r="N173" s="844"/>
      <c r="O173" s="845">
        <f>'5.1 Inventory (GC)'!Q21</f>
        <v>0</v>
      </c>
      <c r="P173" s="844"/>
      <c r="Q173" s="844"/>
      <c r="R173" s="844"/>
      <c r="S173" s="844"/>
      <c r="T173" s="844"/>
      <c r="U173" s="844"/>
      <c r="V173" s="844"/>
      <c r="W173" s="845">
        <f>'5.1 Inventory (GC)'!F21</f>
        <v>0</v>
      </c>
      <c r="X173" s="845">
        <f>'5.1 Inventory (GC)'!G21</f>
        <v>0</v>
      </c>
      <c r="Y173" s="845">
        <f>'5.1 Inventory (GC)'!H21</f>
        <v>0</v>
      </c>
      <c r="Z173" s="845">
        <f>'5.1 Inventory (GC)'!I21</f>
        <v>0</v>
      </c>
      <c r="AA173" s="845">
        <f>'5.1 Inventory (GC)'!J21</f>
        <v>0</v>
      </c>
      <c r="AB173" s="845">
        <f>'5.1 Inventory (GC)'!K21</f>
        <v>0</v>
      </c>
      <c r="AC173" s="845">
        <f>'5.1 Inventory (GC)'!L21</f>
        <v>0</v>
      </c>
      <c r="AD173" s="845">
        <f>'5.1 Inventory (GC)'!M21</f>
        <v>0</v>
      </c>
      <c r="AE173" s="845">
        <f>'5.1 Inventory (GC)'!N21</f>
        <v>0</v>
      </c>
      <c r="AF173" s="845">
        <f>'5.1 Inventory (GC)'!O21</f>
        <v>0</v>
      </c>
      <c r="AG173" s="845">
        <f>'5.1 Inventory (GC)'!P21</f>
        <v>0</v>
      </c>
      <c r="AH173" s="845">
        <f>'5.1 Inventory (GC)'!Q21</f>
        <v>0</v>
      </c>
      <c r="AI173" s="844"/>
      <c r="AJ173" s="844"/>
      <c r="AK173" s="844"/>
      <c r="AL173" s="844"/>
      <c r="AM173" s="844"/>
      <c r="AN173" s="844"/>
      <c r="AO173" s="843" t="str">
        <f>'5.1 Inventory (GC)'!S21</f>
        <v/>
      </c>
      <c r="AP173" s="843">
        <v>1401</v>
      </c>
      <c r="AQ173" s="843" t="str">
        <f>Settings!$A$1</f>
        <v>V2</v>
      </c>
    </row>
    <row r="174" spans="1:43" s="843" customFormat="1" ht="12.75" customHeight="1" x14ac:dyDescent="0.2">
      <c r="A174" s="843">
        <f>'Input-FX Rates'!$C$4</f>
        <v>242</v>
      </c>
      <c r="B174" s="843" t="str">
        <f>'Input-FX Rates'!$B$4</f>
        <v>ICH Icheon (242)</v>
      </c>
      <c r="C174" s="843">
        <f>'Input-FX Rates'!$C$6</f>
        <v>750</v>
      </c>
      <c r="D174" s="843" t="str">
        <f>'Input-FX Rates'!$B$6</f>
        <v>750 BU Sensorics &amp; Controls</v>
      </c>
      <c r="E174" s="843" t="str">
        <f>'Input-FX Rates'!$C$5</f>
        <v>7521 &amp; 7522</v>
      </c>
      <c r="F174" s="843" t="str">
        <f>'Input-FX Rates'!$B$5</f>
        <v>7521 &amp; 7522 PL Mechatronic Sensors (&amp; Electrification)</v>
      </c>
      <c r="G174" s="843" t="s">
        <v>1441</v>
      </c>
      <c r="H174" s="843" t="s">
        <v>570</v>
      </c>
      <c r="I174" s="844"/>
      <c r="J174" s="844"/>
      <c r="K174" s="845">
        <f>'5.1 Inventory (GC)'!C22</f>
        <v>0</v>
      </c>
      <c r="L174" s="845">
        <f>'5.1 Inventory (GC)'!D22</f>
        <v>0</v>
      </c>
      <c r="M174" s="844"/>
      <c r="N174" s="844"/>
      <c r="O174" s="845">
        <f>'5.1 Inventory (GC)'!Q22</f>
        <v>0</v>
      </c>
      <c r="P174" s="844"/>
      <c r="Q174" s="844"/>
      <c r="R174" s="844"/>
      <c r="S174" s="844"/>
      <c r="T174" s="844"/>
      <c r="U174" s="844"/>
      <c r="V174" s="844"/>
      <c r="W174" s="845">
        <f>'5.1 Inventory (GC)'!F22</f>
        <v>0</v>
      </c>
      <c r="X174" s="845">
        <f>'5.1 Inventory (GC)'!G22</f>
        <v>0</v>
      </c>
      <c r="Y174" s="845">
        <f>'5.1 Inventory (GC)'!H22</f>
        <v>0</v>
      </c>
      <c r="Z174" s="845">
        <f>'5.1 Inventory (GC)'!I22</f>
        <v>0</v>
      </c>
      <c r="AA174" s="845">
        <f>'5.1 Inventory (GC)'!J22</f>
        <v>0</v>
      </c>
      <c r="AB174" s="845">
        <f>'5.1 Inventory (GC)'!K22</f>
        <v>0</v>
      </c>
      <c r="AC174" s="845">
        <f>'5.1 Inventory (GC)'!L22</f>
        <v>0</v>
      </c>
      <c r="AD174" s="845">
        <f>'5.1 Inventory (GC)'!M22</f>
        <v>0</v>
      </c>
      <c r="AE174" s="845">
        <f>'5.1 Inventory (GC)'!N22</f>
        <v>0</v>
      </c>
      <c r="AF174" s="845">
        <f>'5.1 Inventory (GC)'!O22</f>
        <v>0</v>
      </c>
      <c r="AG174" s="845">
        <f>'5.1 Inventory (GC)'!P22</f>
        <v>0</v>
      </c>
      <c r="AH174" s="845">
        <f>'5.1 Inventory (GC)'!Q22</f>
        <v>0</v>
      </c>
      <c r="AI174" s="844"/>
      <c r="AJ174" s="844"/>
      <c r="AK174" s="844"/>
      <c r="AL174" s="844"/>
      <c r="AM174" s="844"/>
      <c r="AN174" s="844"/>
      <c r="AO174" s="843" t="str">
        <f>'5.1 Inventory (GC)'!S22</f>
        <v/>
      </c>
      <c r="AP174" s="843">
        <v>1402</v>
      </c>
      <c r="AQ174" s="843" t="str">
        <f>Settings!$A$1</f>
        <v>V2</v>
      </c>
    </row>
    <row r="175" spans="1:43" s="843" customFormat="1" ht="12.75" customHeight="1" x14ac:dyDescent="0.2">
      <c r="A175" s="843">
        <f>'Input-FX Rates'!$C$4</f>
        <v>242</v>
      </c>
      <c r="B175" s="843" t="str">
        <f>'Input-FX Rates'!$B$4</f>
        <v>ICH Icheon (242)</v>
      </c>
      <c r="C175" s="843">
        <f>'Input-FX Rates'!$C$6</f>
        <v>750</v>
      </c>
      <c r="D175" s="843" t="str">
        <f>'Input-FX Rates'!$B$6</f>
        <v>750 BU Sensorics &amp; Controls</v>
      </c>
      <c r="E175" s="843" t="str">
        <f>'Input-FX Rates'!$C$5</f>
        <v>7521 &amp; 7522</v>
      </c>
      <c r="F175" s="843" t="str">
        <f>'Input-FX Rates'!$B$5</f>
        <v>7521 &amp; 7522 PL Mechatronic Sensors (&amp; Electrification)</v>
      </c>
      <c r="G175" s="843" t="s">
        <v>1441</v>
      </c>
      <c r="H175" s="843" t="s">
        <v>571</v>
      </c>
      <c r="I175" s="844"/>
      <c r="J175" s="844"/>
      <c r="K175" s="845">
        <f>'5.1 Inventory (GC)'!C23</f>
        <v>0</v>
      </c>
      <c r="L175" s="845">
        <f>'5.1 Inventory (GC)'!D23</f>
        <v>172.23081248242903</v>
      </c>
      <c r="M175" s="844"/>
      <c r="N175" s="844"/>
      <c r="O175" s="845">
        <f>'5.1 Inventory (GC)'!Q23</f>
        <v>64.161781019555832</v>
      </c>
      <c r="P175" s="844"/>
      <c r="Q175" s="844"/>
      <c r="R175" s="844"/>
      <c r="S175" s="844"/>
      <c r="T175" s="844"/>
      <c r="U175" s="844"/>
      <c r="V175" s="844"/>
      <c r="W175" s="845">
        <f>'5.1 Inventory (GC)'!F23</f>
        <v>160.55000000000001</v>
      </c>
      <c r="X175" s="845">
        <f>'5.1 Inventory (GC)'!G23</f>
        <v>147.70600000000002</v>
      </c>
      <c r="Y175" s="845">
        <f>'5.1 Inventory (GC)'!H23</f>
        <v>135.88952</v>
      </c>
      <c r="Z175" s="845">
        <f>'5.1 Inventory (GC)'!I23</f>
        <v>125.0183584</v>
      </c>
      <c r="AA175" s="845">
        <f>'5.1 Inventory (GC)'!J23</f>
        <v>115.01688972800001</v>
      </c>
      <c r="AB175" s="845">
        <f>'5.1 Inventory (GC)'!K23</f>
        <v>105.81553854976002</v>
      </c>
      <c r="AC175" s="845">
        <f>'5.1 Inventory (GC)'!L23</f>
        <v>97.350295465779226</v>
      </c>
      <c r="AD175" s="845">
        <f>'5.1 Inventory (GC)'!M23</f>
        <v>89.562271828516899</v>
      </c>
      <c r="AE175" s="845">
        <f>'5.1 Inventory (GC)'!N23</f>
        <v>82.397290082235543</v>
      </c>
      <c r="AF175" s="845">
        <f>'5.1 Inventory (GC)'!O23</f>
        <v>75.805506875656704</v>
      </c>
      <c r="AG175" s="845">
        <f>'5.1 Inventory (GC)'!P23</f>
        <v>69.74106632560418</v>
      </c>
      <c r="AH175" s="845">
        <f>'5.1 Inventory (GC)'!Q23</f>
        <v>64.161781019555832</v>
      </c>
      <c r="AI175" s="844"/>
      <c r="AJ175" s="844"/>
      <c r="AK175" s="844"/>
      <c r="AL175" s="844"/>
      <c r="AM175" s="844"/>
      <c r="AN175" s="844"/>
      <c r="AO175" s="843" t="str">
        <f>'5.1 Inventory (GC)'!S23</f>
        <v/>
      </c>
      <c r="AP175" s="843">
        <v>1403</v>
      </c>
      <c r="AQ175" s="843" t="str">
        <f>Settings!$A$1</f>
        <v>V2</v>
      </c>
    </row>
    <row r="176" spans="1:43" s="843" customFormat="1" ht="12.75" customHeight="1" x14ac:dyDescent="0.2">
      <c r="A176" s="843">
        <f>'Input-FX Rates'!$C$4</f>
        <v>242</v>
      </c>
      <c r="B176" s="843" t="str">
        <f>'Input-FX Rates'!$B$4</f>
        <v>ICH Icheon (242)</v>
      </c>
      <c r="C176" s="843">
        <f>'Input-FX Rates'!$C$6</f>
        <v>750</v>
      </c>
      <c r="D176" s="843" t="str">
        <f>'Input-FX Rates'!$B$6</f>
        <v>750 BU Sensorics &amp; Controls</v>
      </c>
      <c r="E176" s="843" t="str">
        <f>'Input-FX Rates'!$C$5</f>
        <v>7521 &amp; 7522</v>
      </c>
      <c r="F176" s="843" t="str">
        <f>'Input-FX Rates'!$B$5</f>
        <v>7521 &amp; 7522 PL Mechatronic Sensors (&amp; Electrification)</v>
      </c>
      <c r="G176" s="843" t="s">
        <v>1441</v>
      </c>
      <c r="H176" s="843" t="s">
        <v>572</v>
      </c>
      <c r="I176" s="844"/>
      <c r="J176" s="844"/>
      <c r="K176" s="845">
        <f>'5.1 Inventory (GC)'!C24</f>
        <v>11.839975672331471</v>
      </c>
      <c r="L176" s="845">
        <f>'5.1 Inventory (GC)'!D24</f>
        <v>89.479779308405966</v>
      </c>
      <c r="M176" s="844"/>
      <c r="N176" s="844"/>
      <c r="O176" s="845">
        <f>'5.1 Inventory (GC)'!Q24</f>
        <v>68.696586543999985</v>
      </c>
      <c r="P176" s="844"/>
      <c r="Q176" s="844"/>
      <c r="R176" s="844"/>
      <c r="S176" s="844"/>
      <c r="T176" s="844"/>
      <c r="U176" s="844"/>
      <c r="V176" s="844"/>
      <c r="W176" s="845">
        <f>'5.1 Inventory (GC)'!F24</f>
        <v>78.766337861333341</v>
      </c>
      <c r="X176" s="845">
        <f>'5.1 Inventory (GC)'!G24</f>
        <v>118.15042064800001</v>
      </c>
      <c r="Y176" s="845">
        <f>'5.1 Inventory (GC)'!H24</f>
        <v>95.816278506666663</v>
      </c>
      <c r="Z176" s="845">
        <f>'5.1 Inventory (GC)'!I24</f>
        <v>78.766947098666662</v>
      </c>
      <c r="AA176" s="845">
        <f>'5.1 Inventory (GC)'!J24</f>
        <v>80.882845125333347</v>
      </c>
      <c r="AB176" s="845">
        <f>'5.1 Inventory (GC)'!K24</f>
        <v>93.928204326666645</v>
      </c>
      <c r="AC176" s="845">
        <f>'5.1 Inventory (GC)'!L24</f>
        <v>101.97988439999996</v>
      </c>
      <c r="AD176" s="845">
        <f>'5.1 Inventory (GC)'!M24</f>
        <v>99.290673606666687</v>
      </c>
      <c r="AE176" s="845">
        <f>'5.1 Inventory (GC)'!N24</f>
        <v>70.844422021333344</v>
      </c>
      <c r="AF176" s="845">
        <f>'5.1 Inventory (GC)'!O24</f>
        <v>81.579723904000005</v>
      </c>
      <c r="AG176" s="845">
        <f>'5.1 Inventory (GC)'!P24</f>
        <v>99.288902486666686</v>
      </c>
      <c r="AH176" s="845">
        <f>'5.1 Inventory (GC)'!Q24</f>
        <v>68.696586543999985</v>
      </c>
      <c r="AI176" s="844"/>
      <c r="AJ176" s="844"/>
      <c r="AK176" s="844"/>
      <c r="AL176" s="844"/>
      <c r="AM176" s="844"/>
      <c r="AN176" s="844"/>
      <c r="AO176" s="843" t="str">
        <f>'5.1 Inventory (GC)'!S24</f>
        <v/>
      </c>
      <c r="AP176" s="843">
        <v>142</v>
      </c>
      <c r="AQ176" s="843" t="str">
        <f>Settings!$A$1</f>
        <v>V2</v>
      </c>
    </row>
    <row r="177" spans="1:43" s="843" customFormat="1" ht="12.75" customHeight="1" x14ac:dyDescent="0.2">
      <c r="A177" s="843">
        <f>'Input-FX Rates'!$C$4</f>
        <v>242</v>
      </c>
      <c r="B177" s="843" t="str">
        <f>'Input-FX Rates'!$B$4</f>
        <v>ICH Icheon (242)</v>
      </c>
      <c r="C177" s="843">
        <f>'Input-FX Rates'!$C$6</f>
        <v>750</v>
      </c>
      <c r="D177" s="843" t="str">
        <f>'Input-FX Rates'!$B$6</f>
        <v>750 BU Sensorics &amp; Controls</v>
      </c>
      <c r="E177" s="843" t="str">
        <f>'Input-FX Rates'!$C$5</f>
        <v>7521 &amp; 7522</v>
      </c>
      <c r="F177" s="843" t="str">
        <f>'Input-FX Rates'!$B$5</f>
        <v>7521 &amp; 7522 PL Mechatronic Sensors (&amp; Electrification)</v>
      </c>
      <c r="G177" s="843" t="s">
        <v>1441</v>
      </c>
      <c r="H177" s="843" t="s">
        <v>573</v>
      </c>
      <c r="I177" s="844"/>
      <c r="J177" s="844"/>
      <c r="K177" s="845">
        <f>'5.1 Inventory (GC)'!C25</f>
        <v>11.839975672331471</v>
      </c>
      <c r="L177" s="845">
        <f>'5.1 Inventory (GC)'!D25</f>
        <v>89.479779308405966</v>
      </c>
      <c r="M177" s="844"/>
      <c r="N177" s="844"/>
      <c r="O177" s="845">
        <f>'5.1 Inventory (GC)'!Q25</f>
        <v>68.696586543999985</v>
      </c>
      <c r="P177" s="844"/>
      <c r="Q177" s="844"/>
      <c r="R177" s="844"/>
      <c r="S177" s="844"/>
      <c r="T177" s="844"/>
      <c r="U177" s="844"/>
      <c r="V177" s="844"/>
      <c r="W177" s="845">
        <f>'5.1 Inventory (GC)'!F25</f>
        <v>78.766337861333341</v>
      </c>
      <c r="X177" s="845">
        <f>'5.1 Inventory (GC)'!G25</f>
        <v>118.15042064800001</v>
      </c>
      <c r="Y177" s="845">
        <f>'5.1 Inventory (GC)'!H25</f>
        <v>95.816278506666663</v>
      </c>
      <c r="Z177" s="845">
        <f>'5.1 Inventory (GC)'!I25</f>
        <v>78.766947098666662</v>
      </c>
      <c r="AA177" s="845">
        <f>'5.1 Inventory (GC)'!J25</f>
        <v>80.882845125333347</v>
      </c>
      <c r="AB177" s="845">
        <f>'5.1 Inventory (GC)'!K25</f>
        <v>93.928204326666645</v>
      </c>
      <c r="AC177" s="845">
        <f>'5.1 Inventory (GC)'!L25</f>
        <v>101.97988439999996</v>
      </c>
      <c r="AD177" s="845">
        <f>'5.1 Inventory (GC)'!M25</f>
        <v>99.290673606666687</v>
      </c>
      <c r="AE177" s="845">
        <f>'5.1 Inventory (GC)'!N25</f>
        <v>70.844422021333344</v>
      </c>
      <c r="AF177" s="845">
        <f>'5.1 Inventory (GC)'!O25</f>
        <v>81.579723904000005</v>
      </c>
      <c r="AG177" s="845">
        <f>'5.1 Inventory (GC)'!P25</f>
        <v>99.288902486666686</v>
      </c>
      <c r="AH177" s="845">
        <f>'5.1 Inventory (GC)'!Q25</f>
        <v>68.696586543999985</v>
      </c>
      <c r="AI177" s="844"/>
      <c r="AJ177" s="844"/>
      <c r="AK177" s="844"/>
      <c r="AL177" s="844"/>
      <c r="AM177" s="844"/>
      <c r="AN177" s="844"/>
      <c r="AO177" s="843" t="str">
        <f>'5.1 Inventory (GC)'!S25</f>
        <v/>
      </c>
      <c r="AP177" s="843">
        <v>143</v>
      </c>
      <c r="AQ177" s="843" t="str">
        <f>Settings!$A$1</f>
        <v>V2</v>
      </c>
    </row>
    <row r="178" spans="1:43" s="843" customFormat="1" ht="12.75" customHeight="1" x14ac:dyDescent="0.2">
      <c r="A178" s="843">
        <f>'Input-FX Rates'!$C$4</f>
        <v>242</v>
      </c>
      <c r="B178" s="843" t="str">
        <f>'Input-FX Rates'!$B$4</f>
        <v>ICH Icheon (242)</v>
      </c>
      <c r="C178" s="843">
        <f>'Input-FX Rates'!$C$6</f>
        <v>750</v>
      </c>
      <c r="D178" s="843" t="str">
        <f>'Input-FX Rates'!$B$6</f>
        <v>750 BU Sensorics &amp; Controls</v>
      </c>
      <c r="E178" s="843" t="str">
        <f>'Input-FX Rates'!$C$5</f>
        <v>7521 &amp; 7522</v>
      </c>
      <c r="F178" s="843" t="str">
        <f>'Input-FX Rates'!$B$5</f>
        <v>7521 &amp; 7522 PL Mechatronic Sensors (&amp; Electrification)</v>
      </c>
      <c r="G178" s="843" t="s">
        <v>1441</v>
      </c>
      <c r="H178" s="843" t="s">
        <v>561</v>
      </c>
      <c r="I178" s="844"/>
      <c r="J178" s="844"/>
      <c r="K178" s="845">
        <f>'5.1 Inventory (GC)'!C26</f>
        <v>0</v>
      </c>
      <c r="L178" s="845">
        <f>'5.1 Inventory (GC)'!D26</f>
        <v>0</v>
      </c>
      <c r="M178" s="844"/>
      <c r="N178" s="844"/>
      <c r="O178" s="845">
        <f>'5.1 Inventory (GC)'!Q26</f>
        <v>0</v>
      </c>
      <c r="P178" s="844"/>
      <c r="Q178" s="844"/>
      <c r="R178" s="844"/>
      <c r="S178" s="844"/>
      <c r="T178" s="844"/>
      <c r="U178" s="844"/>
      <c r="V178" s="844"/>
      <c r="W178" s="845">
        <f>'5.1 Inventory (GC)'!F26</f>
        <v>0</v>
      </c>
      <c r="X178" s="845">
        <f>'5.1 Inventory (GC)'!G26</f>
        <v>0</v>
      </c>
      <c r="Y178" s="845">
        <f>'5.1 Inventory (GC)'!H26</f>
        <v>0</v>
      </c>
      <c r="Z178" s="845">
        <f>'5.1 Inventory (GC)'!I26</f>
        <v>0</v>
      </c>
      <c r="AA178" s="845">
        <f>'5.1 Inventory (GC)'!J26</f>
        <v>0</v>
      </c>
      <c r="AB178" s="845">
        <f>'5.1 Inventory (GC)'!K26</f>
        <v>0</v>
      </c>
      <c r="AC178" s="845">
        <f>'5.1 Inventory (GC)'!L26</f>
        <v>0</v>
      </c>
      <c r="AD178" s="845">
        <f>'5.1 Inventory (GC)'!M26</f>
        <v>0</v>
      </c>
      <c r="AE178" s="845">
        <f>'5.1 Inventory (GC)'!N26</f>
        <v>0</v>
      </c>
      <c r="AF178" s="845">
        <f>'5.1 Inventory (GC)'!O26</f>
        <v>0</v>
      </c>
      <c r="AG178" s="845">
        <f>'5.1 Inventory (GC)'!P26</f>
        <v>0</v>
      </c>
      <c r="AH178" s="845">
        <f>'5.1 Inventory (GC)'!Q26</f>
        <v>0</v>
      </c>
      <c r="AI178" s="844"/>
      <c r="AJ178" s="844"/>
      <c r="AK178" s="844"/>
      <c r="AL178" s="844"/>
      <c r="AM178" s="844"/>
      <c r="AN178" s="844"/>
      <c r="AO178" s="843" t="str">
        <f>'5.1 Inventory (GC)'!S26</f>
        <v/>
      </c>
      <c r="AP178" s="843">
        <v>144</v>
      </c>
      <c r="AQ178" s="843" t="str">
        <f>Settings!$A$1</f>
        <v>V2</v>
      </c>
    </row>
    <row r="179" spans="1:43" s="843" customFormat="1" ht="12.75" customHeight="1" x14ac:dyDescent="0.2">
      <c r="A179" s="843">
        <f>'Input-FX Rates'!$C$4</f>
        <v>242</v>
      </c>
      <c r="B179" s="843" t="str">
        <f>'Input-FX Rates'!$B$4</f>
        <v>ICH Icheon (242)</v>
      </c>
      <c r="C179" s="843">
        <f>'Input-FX Rates'!$C$6</f>
        <v>750</v>
      </c>
      <c r="D179" s="843" t="str">
        <f>'Input-FX Rates'!$B$6</f>
        <v>750 BU Sensorics &amp; Controls</v>
      </c>
      <c r="E179" s="843" t="str">
        <f>'Input-FX Rates'!$C$5</f>
        <v>7521 &amp; 7522</v>
      </c>
      <c r="F179" s="843" t="str">
        <f>'Input-FX Rates'!$B$5</f>
        <v>7521 &amp; 7522 PL Mechatronic Sensors (&amp; Electrification)</v>
      </c>
      <c r="G179" s="843" t="s">
        <v>1441</v>
      </c>
      <c r="H179" s="843" t="s">
        <v>564</v>
      </c>
      <c r="I179" s="844"/>
      <c r="J179" s="844"/>
      <c r="K179" s="845">
        <f>'5.1 Inventory (GC)'!C27</f>
        <v>0</v>
      </c>
      <c r="L179" s="845">
        <f>'5.1 Inventory (GC)'!D27</f>
        <v>0</v>
      </c>
      <c r="M179" s="844"/>
      <c r="N179" s="844"/>
      <c r="O179" s="845">
        <f>'5.1 Inventory (GC)'!Q27</f>
        <v>0</v>
      </c>
      <c r="P179" s="844"/>
      <c r="Q179" s="844"/>
      <c r="R179" s="844"/>
      <c r="S179" s="844"/>
      <c r="T179" s="844"/>
      <c r="U179" s="844"/>
      <c r="V179" s="844"/>
      <c r="W179" s="845">
        <f>'5.1 Inventory (GC)'!F27</f>
        <v>0</v>
      </c>
      <c r="X179" s="845">
        <f>'5.1 Inventory (GC)'!G27</f>
        <v>0</v>
      </c>
      <c r="Y179" s="845">
        <f>'5.1 Inventory (GC)'!H27</f>
        <v>0</v>
      </c>
      <c r="Z179" s="845">
        <f>'5.1 Inventory (GC)'!I27</f>
        <v>0</v>
      </c>
      <c r="AA179" s="845">
        <f>'5.1 Inventory (GC)'!J27</f>
        <v>0</v>
      </c>
      <c r="AB179" s="845">
        <f>'5.1 Inventory (GC)'!K27</f>
        <v>0</v>
      </c>
      <c r="AC179" s="845">
        <f>'5.1 Inventory (GC)'!L27</f>
        <v>0</v>
      </c>
      <c r="AD179" s="845">
        <f>'5.1 Inventory (GC)'!M27</f>
        <v>0</v>
      </c>
      <c r="AE179" s="845">
        <f>'5.1 Inventory (GC)'!N27</f>
        <v>0</v>
      </c>
      <c r="AF179" s="845">
        <f>'5.1 Inventory (GC)'!O27</f>
        <v>0</v>
      </c>
      <c r="AG179" s="845">
        <f>'5.1 Inventory (GC)'!P27</f>
        <v>0</v>
      </c>
      <c r="AH179" s="845">
        <f>'5.1 Inventory (GC)'!Q27</f>
        <v>0</v>
      </c>
      <c r="AI179" s="844"/>
      <c r="AJ179" s="844"/>
      <c r="AK179" s="844"/>
      <c r="AL179" s="844"/>
      <c r="AM179" s="844"/>
      <c r="AN179" s="844"/>
      <c r="AO179" s="843" t="str">
        <f>'5.1 Inventory (GC)'!S27</f>
        <v/>
      </c>
      <c r="AP179" s="843">
        <v>145</v>
      </c>
      <c r="AQ179" s="843" t="str">
        <f>Settings!$A$1</f>
        <v>V2</v>
      </c>
    </row>
    <row r="180" spans="1:43" s="843" customFormat="1" ht="12.75" customHeight="1" x14ac:dyDescent="0.2">
      <c r="A180" s="843">
        <f>'Input-FX Rates'!$C$4</f>
        <v>242</v>
      </c>
      <c r="B180" s="843" t="str">
        <f>'Input-FX Rates'!$B$4</f>
        <v>ICH Icheon (242)</v>
      </c>
      <c r="C180" s="843">
        <f>'Input-FX Rates'!$C$6</f>
        <v>750</v>
      </c>
      <c r="D180" s="843" t="str">
        <f>'Input-FX Rates'!$B$6</f>
        <v>750 BU Sensorics &amp; Controls</v>
      </c>
      <c r="E180" s="843" t="str">
        <f>'Input-FX Rates'!$C$5</f>
        <v>7521 &amp; 7522</v>
      </c>
      <c r="F180" s="843" t="str">
        <f>'Input-FX Rates'!$B$5</f>
        <v>7521 &amp; 7522 PL Mechatronic Sensors (&amp; Electrification)</v>
      </c>
      <c r="G180" s="843" t="s">
        <v>1441</v>
      </c>
      <c r="H180" s="843" t="s">
        <v>567</v>
      </c>
      <c r="I180" s="844"/>
      <c r="J180" s="844"/>
      <c r="K180" s="845">
        <f>'5.1 Inventory (GC)'!C28</f>
        <v>0</v>
      </c>
      <c r="L180" s="845">
        <f>'5.1 Inventory (GC)'!D28</f>
        <v>0</v>
      </c>
      <c r="M180" s="844"/>
      <c r="N180" s="844"/>
      <c r="O180" s="845">
        <f>'5.1 Inventory (GC)'!Q28</f>
        <v>0</v>
      </c>
      <c r="P180" s="844"/>
      <c r="Q180" s="844"/>
      <c r="R180" s="844"/>
      <c r="S180" s="844"/>
      <c r="T180" s="844"/>
      <c r="U180" s="844"/>
      <c r="V180" s="844"/>
      <c r="W180" s="845">
        <f>'5.1 Inventory (GC)'!F28</f>
        <v>0</v>
      </c>
      <c r="X180" s="845">
        <f>'5.1 Inventory (GC)'!G28</f>
        <v>0</v>
      </c>
      <c r="Y180" s="845">
        <f>'5.1 Inventory (GC)'!H28</f>
        <v>0</v>
      </c>
      <c r="Z180" s="845">
        <f>'5.1 Inventory (GC)'!I28</f>
        <v>0</v>
      </c>
      <c r="AA180" s="845">
        <f>'5.1 Inventory (GC)'!J28</f>
        <v>0</v>
      </c>
      <c r="AB180" s="845">
        <f>'5.1 Inventory (GC)'!K28</f>
        <v>0</v>
      </c>
      <c r="AC180" s="845">
        <f>'5.1 Inventory (GC)'!L28</f>
        <v>0</v>
      </c>
      <c r="AD180" s="845">
        <f>'5.1 Inventory (GC)'!M28</f>
        <v>0</v>
      </c>
      <c r="AE180" s="845">
        <f>'5.1 Inventory (GC)'!N28</f>
        <v>0</v>
      </c>
      <c r="AF180" s="845">
        <f>'5.1 Inventory (GC)'!O28</f>
        <v>0</v>
      </c>
      <c r="AG180" s="845">
        <f>'5.1 Inventory (GC)'!P28</f>
        <v>0</v>
      </c>
      <c r="AH180" s="845">
        <f>'5.1 Inventory (GC)'!Q28</f>
        <v>0</v>
      </c>
      <c r="AI180" s="844"/>
      <c r="AJ180" s="844"/>
      <c r="AK180" s="844"/>
      <c r="AL180" s="844"/>
      <c r="AM180" s="844"/>
      <c r="AN180" s="844"/>
      <c r="AO180" s="843" t="str">
        <f>'5.1 Inventory (GC)'!S28</f>
        <v/>
      </c>
      <c r="AP180" s="843">
        <v>146</v>
      </c>
      <c r="AQ180" s="843" t="str">
        <f>Settings!$A$1</f>
        <v>V2</v>
      </c>
    </row>
    <row r="181" spans="1:43" s="843" customFormat="1" x14ac:dyDescent="0.2">
      <c r="A181" s="843">
        <f>'Input-FX Rates'!$C$4</f>
        <v>242</v>
      </c>
      <c r="B181" s="843" t="str">
        <f>'Input-FX Rates'!$B$4</f>
        <v>ICH Icheon (242)</v>
      </c>
      <c r="C181" s="843">
        <f>'Input-FX Rates'!$C$6</f>
        <v>750</v>
      </c>
      <c r="D181" s="843" t="str">
        <f>'Input-FX Rates'!$B$6</f>
        <v>750 BU Sensorics &amp; Controls</v>
      </c>
      <c r="E181" s="843" t="str">
        <f>'Input-FX Rates'!$C$5</f>
        <v>7521 &amp; 7522</v>
      </c>
      <c r="F181" s="843" t="str">
        <f>'Input-FX Rates'!$B$5</f>
        <v>7521 &amp; 7522 PL Mechatronic Sensors (&amp; Electrification)</v>
      </c>
      <c r="G181" s="843" t="s">
        <v>1441</v>
      </c>
      <c r="H181" s="843" t="s">
        <v>561</v>
      </c>
      <c r="I181" s="844"/>
      <c r="J181" s="844"/>
      <c r="K181" s="845">
        <f>'5.1 Inventory (GC)'!C29</f>
        <v>0</v>
      </c>
      <c r="L181" s="845">
        <f>'5.1 Inventory (GC)'!D29</f>
        <v>0</v>
      </c>
      <c r="M181" s="844"/>
      <c r="N181" s="844"/>
      <c r="O181" s="845">
        <f>'5.1 Inventory (GC)'!Q29</f>
        <v>0</v>
      </c>
      <c r="P181" s="844"/>
      <c r="Q181" s="844"/>
      <c r="R181" s="844"/>
      <c r="S181" s="844"/>
      <c r="T181" s="844"/>
      <c r="U181" s="844"/>
      <c r="V181" s="844"/>
      <c r="W181" s="845">
        <f>'5.1 Inventory (GC)'!F29</f>
        <v>0</v>
      </c>
      <c r="X181" s="845">
        <f>'5.1 Inventory (GC)'!G29</f>
        <v>0</v>
      </c>
      <c r="Y181" s="845">
        <f>'5.1 Inventory (GC)'!H29</f>
        <v>0</v>
      </c>
      <c r="Z181" s="845">
        <f>'5.1 Inventory (GC)'!I29</f>
        <v>0</v>
      </c>
      <c r="AA181" s="845">
        <f>'5.1 Inventory (GC)'!J29</f>
        <v>0</v>
      </c>
      <c r="AB181" s="845">
        <f>'5.1 Inventory (GC)'!K29</f>
        <v>0</v>
      </c>
      <c r="AC181" s="845">
        <f>'5.1 Inventory (GC)'!L29</f>
        <v>0</v>
      </c>
      <c r="AD181" s="845">
        <f>'5.1 Inventory (GC)'!M29</f>
        <v>0</v>
      </c>
      <c r="AE181" s="845">
        <f>'5.1 Inventory (GC)'!N29</f>
        <v>0</v>
      </c>
      <c r="AF181" s="845">
        <f>'5.1 Inventory (GC)'!O29</f>
        <v>0</v>
      </c>
      <c r="AG181" s="845">
        <f>'5.1 Inventory (GC)'!P29</f>
        <v>0</v>
      </c>
      <c r="AH181" s="845">
        <f>'5.1 Inventory (GC)'!Q29</f>
        <v>0</v>
      </c>
      <c r="AI181" s="844"/>
      <c r="AJ181" s="844"/>
      <c r="AK181" s="844"/>
      <c r="AL181" s="844"/>
      <c r="AM181" s="844"/>
      <c r="AN181" s="844"/>
      <c r="AO181" s="843" t="str">
        <f>'5.1 Inventory (GC)'!S29</f>
        <v/>
      </c>
      <c r="AP181" s="843">
        <v>148</v>
      </c>
      <c r="AQ181" s="843" t="str">
        <f>Settings!$A$1</f>
        <v>V2</v>
      </c>
    </row>
    <row r="182" spans="1:43" s="843" customFormat="1" x14ac:dyDescent="0.2">
      <c r="A182" s="843">
        <f>'Input-FX Rates'!$C$4</f>
        <v>242</v>
      </c>
      <c r="B182" s="843" t="str">
        <f>'Input-FX Rates'!$B$4</f>
        <v>ICH Icheon (242)</v>
      </c>
      <c r="C182" s="843">
        <f>'Input-FX Rates'!$C$6</f>
        <v>750</v>
      </c>
      <c r="D182" s="843" t="str">
        <f>'Input-FX Rates'!$B$6</f>
        <v>750 BU Sensorics &amp; Controls</v>
      </c>
      <c r="E182" s="843" t="str">
        <f>'Input-FX Rates'!$C$5</f>
        <v>7521 &amp; 7522</v>
      </c>
      <c r="F182" s="843" t="str">
        <f>'Input-FX Rates'!$B$5</f>
        <v>7521 &amp; 7522 PL Mechatronic Sensors (&amp; Electrification)</v>
      </c>
      <c r="G182" s="843" t="s">
        <v>1441</v>
      </c>
      <c r="H182" s="843" t="s">
        <v>569</v>
      </c>
      <c r="I182" s="844"/>
      <c r="J182" s="844"/>
      <c r="K182" s="845">
        <f>'5.1 Inventory (GC)'!C30</f>
        <v>0</v>
      </c>
      <c r="L182" s="845">
        <f>'5.1 Inventory (GC)'!D30</f>
        <v>0</v>
      </c>
      <c r="M182" s="844"/>
      <c r="N182" s="844"/>
      <c r="O182" s="845">
        <f>'5.1 Inventory (GC)'!Q30</f>
        <v>0</v>
      </c>
      <c r="P182" s="844"/>
      <c r="Q182" s="844"/>
      <c r="R182" s="844"/>
      <c r="S182" s="844"/>
      <c r="T182" s="844"/>
      <c r="U182" s="844"/>
      <c r="V182" s="844"/>
      <c r="W182" s="845">
        <f>'5.1 Inventory (GC)'!F30</f>
        <v>0</v>
      </c>
      <c r="X182" s="845">
        <f>'5.1 Inventory (GC)'!G30</f>
        <v>0</v>
      </c>
      <c r="Y182" s="845">
        <f>'5.1 Inventory (GC)'!H30</f>
        <v>0</v>
      </c>
      <c r="Z182" s="845">
        <f>'5.1 Inventory (GC)'!I30</f>
        <v>0</v>
      </c>
      <c r="AA182" s="845">
        <f>'5.1 Inventory (GC)'!J30</f>
        <v>0</v>
      </c>
      <c r="AB182" s="845">
        <f>'5.1 Inventory (GC)'!K30</f>
        <v>0</v>
      </c>
      <c r="AC182" s="845">
        <f>'5.1 Inventory (GC)'!L30</f>
        <v>0</v>
      </c>
      <c r="AD182" s="845">
        <f>'5.1 Inventory (GC)'!M30</f>
        <v>0</v>
      </c>
      <c r="AE182" s="845">
        <f>'5.1 Inventory (GC)'!N30</f>
        <v>0</v>
      </c>
      <c r="AF182" s="845">
        <f>'5.1 Inventory (GC)'!O30</f>
        <v>0</v>
      </c>
      <c r="AG182" s="845">
        <f>'5.1 Inventory (GC)'!P30</f>
        <v>0</v>
      </c>
      <c r="AH182" s="845">
        <f>'5.1 Inventory (GC)'!Q30</f>
        <v>0</v>
      </c>
      <c r="AI182" s="844"/>
      <c r="AJ182" s="844"/>
      <c r="AK182" s="844"/>
      <c r="AL182" s="844"/>
      <c r="AM182" s="844"/>
      <c r="AN182" s="844"/>
      <c r="AO182" s="843" t="str">
        <f>'5.1 Inventory (GC)'!S30</f>
        <v/>
      </c>
      <c r="AP182" s="843">
        <v>149</v>
      </c>
      <c r="AQ182" s="843" t="str">
        <f>Settings!$A$1</f>
        <v>V2</v>
      </c>
    </row>
    <row r="183" spans="1:43" s="843" customFormat="1" x14ac:dyDescent="0.2">
      <c r="A183" s="843">
        <f>'Input-FX Rates'!$C$4</f>
        <v>242</v>
      </c>
      <c r="B183" s="843" t="str">
        <f>'Input-FX Rates'!$B$4</f>
        <v>ICH Icheon (242)</v>
      </c>
      <c r="C183" s="843">
        <f>'Input-FX Rates'!$C$6</f>
        <v>750</v>
      </c>
      <c r="D183" s="843" t="str">
        <f>'Input-FX Rates'!$B$6</f>
        <v>750 BU Sensorics &amp; Controls</v>
      </c>
      <c r="E183" s="843" t="str">
        <f>'Input-FX Rates'!$C$5</f>
        <v>7521 &amp; 7522</v>
      </c>
      <c r="F183" s="843" t="str">
        <f>'Input-FX Rates'!$B$5</f>
        <v>7521 &amp; 7522 PL Mechatronic Sensors (&amp; Electrification)</v>
      </c>
      <c r="G183" s="843" t="s">
        <v>1441</v>
      </c>
      <c r="H183" s="843" t="s">
        <v>570</v>
      </c>
      <c r="I183" s="844"/>
      <c r="J183" s="844"/>
      <c r="K183" s="845">
        <f>'5.1 Inventory (GC)'!C31</f>
        <v>0</v>
      </c>
      <c r="L183" s="845">
        <f>'5.1 Inventory (GC)'!D31</f>
        <v>0</v>
      </c>
      <c r="M183" s="844"/>
      <c r="N183" s="844"/>
      <c r="O183" s="845">
        <f>'5.1 Inventory (GC)'!Q31</f>
        <v>0</v>
      </c>
      <c r="P183" s="844"/>
      <c r="Q183" s="844"/>
      <c r="R183" s="844"/>
      <c r="S183" s="844"/>
      <c r="T183" s="844"/>
      <c r="U183" s="844"/>
      <c r="V183" s="844"/>
      <c r="W183" s="845">
        <f>'5.1 Inventory (GC)'!F31</f>
        <v>0</v>
      </c>
      <c r="X183" s="845">
        <f>'5.1 Inventory (GC)'!G31</f>
        <v>0</v>
      </c>
      <c r="Y183" s="845">
        <f>'5.1 Inventory (GC)'!H31</f>
        <v>0</v>
      </c>
      <c r="Z183" s="845">
        <f>'5.1 Inventory (GC)'!I31</f>
        <v>0</v>
      </c>
      <c r="AA183" s="845">
        <f>'5.1 Inventory (GC)'!J31</f>
        <v>0</v>
      </c>
      <c r="AB183" s="845">
        <f>'5.1 Inventory (GC)'!K31</f>
        <v>0</v>
      </c>
      <c r="AC183" s="845">
        <f>'5.1 Inventory (GC)'!L31</f>
        <v>0</v>
      </c>
      <c r="AD183" s="845">
        <f>'5.1 Inventory (GC)'!M31</f>
        <v>0</v>
      </c>
      <c r="AE183" s="845">
        <f>'5.1 Inventory (GC)'!N31</f>
        <v>0</v>
      </c>
      <c r="AF183" s="845">
        <f>'5.1 Inventory (GC)'!O31</f>
        <v>0</v>
      </c>
      <c r="AG183" s="845">
        <f>'5.1 Inventory (GC)'!P31</f>
        <v>0</v>
      </c>
      <c r="AH183" s="845">
        <f>'5.1 Inventory (GC)'!Q31</f>
        <v>0</v>
      </c>
      <c r="AI183" s="844"/>
      <c r="AJ183" s="844"/>
      <c r="AK183" s="844"/>
      <c r="AL183" s="844"/>
      <c r="AM183" s="844"/>
      <c r="AN183" s="844"/>
      <c r="AO183" s="843" t="str">
        <f>'5.1 Inventory (GC)'!S31</f>
        <v/>
      </c>
      <c r="AP183" s="843">
        <v>150</v>
      </c>
      <c r="AQ183" s="843" t="str">
        <f>Settings!$A$1</f>
        <v>V2</v>
      </c>
    </row>
    <row r="184" spans="1:43" s="843" customFormat="1" x14ac:dyDescent="0.2">
      <c r="A184" s="843">
        <f>'Input-FX Rates'!$C$4</f>
        <v>242</v>
      </c>
      <c r="B184" s="843" t="str">
        <f>'Input-FX Rates'!$B$4</f>
        <v>ICH Icheon (242)</v>
      </c>
      <c r="C184" s="843">
        <f>'Input-FX Rates'!$C$6</f>
        <v>750</v>
      </c>
      <c r="D184" s="843" t="str">
        <f>'Input-FX Rates'!$B$6</f>
        <v>750 BU Sensorics &amp; Controls</v>
      </c>
      <c r="E184" s="843" t="str">
        <f>'Input-FX Rates'!$C$5</f>
        <v>7521 &amp; 7522</v>
      </c>
      <c r="F184" s="843" t="str">
        <f>'Input-FX Rates'!$B$5</f>
        <v>7521 &amp; 7522 PL Mechatronic Sensors (&amp; Electrification)</v>
      </c>
      <c r="G184" s="843" t="s">
        <v>1441</v>
      </c>
      <c r="H184" s="843" t="s">
        <v>574</v>
      </c>
      <c r="I184" s="844"/>
      <c r="J184" s="844"/>
      <c r="K184" s="845">
        <f>'5.1 Inventory (GC)'!C32</f>
        <v>258.02269533789593</v>
      </c>
      <c r="L184" s="845">
        <f>'5.1 Inventory (GC)'!D32</f>
        <v>2046.9756817542873</v>
      </c>
      <c r="M184" s="844"/>
      <c r="N184" s="844"/>
      <c r="O184" s="845">
        <f>'5.1 Inventory (GC)'!Q32</f>
        <v>627.69851903448262</v>
      </c>
      <c r="P184" s="844"/>
      <c r="Q184" s="844"/>
      <c r="R184" s="844"/>
      <c r="S184" s="844"/>
      <c r="T184" s="844"/>
      <c r="U184" s="844"/>
      <c r="V184" s="844"/>
      <c r="W184" s="845">
        <f>'5.1 Inventory (GC)'!F32</f>
        <v>1738.5171299770116</v>
      </c>
      <c r="X184" s="845">
        <f>'5.1 Inventory (GC)'!G32</f>
        <v>1697.3616215862069</v>
      </c>
      <c r="Y184" s="845">
        <f>'5.1 Inventory (GC)'!H32</f>
        <v>1544.1994667126437</v>
      </c>
      <c r="Z184" s="845">
        <f>'5.1 Inventory (GC)'!I32</f>
        <v>1401.1228291954023</v>
      </c>
      <c r="AA184" s="845">
        <f>'5.1 Inventory (GC)'!J32</f>
        <v>1294.6210570114943</v>
      </c>
      <c r="AB184" s="845">
        <f>'5.1 Inventory (GC)'!K32</f>
        <v>1208.9770344712642</v>
      </c>
      <c r="AC184" s="845">
        <f>'5.1 Inventory (GC)'!L32</f>
        <v>1113.8030906206898</v>
      </c>
      <c r="AD184" s="845">
        <f>'5.1 Inventory (GC)'!M32</f>
        <v>998.13126274712636</v>
      </c>
      <c r="AE184" s="845">
        <f>'5.1 Inventory (GC)'!N32</f>
        <v>833.30477756321841</v>
      </c>
      <c r="AF184" s="845">
        <f>'5.1 Inventory (GC)'!O32</f>
        <v>743.25224924137933</v>
      </c>
      <c r="AG184" s="845">
        <f>'5.1 Inventory (GC)'!P32</f>
        <v>729.30533543678166</v>
      </c>
      <c r="AH184" s="845">
        <f>'5.1 Inventory (GC)'!Q32</f>
        <v>627.69851903448262</v>
      </c>
      <c r="AI184" s="844"/>
      <c r="AJ184" s="844"/>
      <c r="AK184" s="844"/>
      <c r="AL184" s="844"/>
      <c r="AM184" s="844"/>
      <c r="AN184" s="844"/>
      <c r="AO184" s="843" t="str">
        <f>'5.1 Inventory (GC)'!S32</f>
        <v/>
      </c>
      <c r="AP184" s="843">
        <v>151</v>
      </c>
      <c r="AQ184" s="843" t="str">
        <f>Settings!$A$1</f>
        <v>V2</v>
      </c>
    </row>
    <row r="185" spans="1:43" s="843" customFormat="1" x14ac:dyDescent="0.2">
      <c r="A185" s="843">
        <f>'Input-FX Rates'!$C$4</f>
        <v>242</v>
      </c>
      <c r="B185" s="843" t="str">
        <f>'Input-FX Rates'!$B$4</f>
        <v>ICH Icheon (242)</v>
      </c>
      <c r="C185" s="843">
        <f>'Input-FX Rates'!$C$6</f>
        <v>750</v>
      </c>
      <c r="D185" s="843" t="str">
        <f>'Input-FX Rates'!$B$6</f>
        <v>750 BU Sensorics &amp; Controls</v>
      </c>
      <c r="E185" s="843" t="str">
        <f>'Input-FX Rates'!$C$5</f>
        <v>7521 &amp; 7522</v>
      </c>
      <c r="F185" s="843" t="str">
        <f>'Input-FX Rates'!$B$5</f>
        <v>7521 &amp; 7522 PL Mechatronic Sensors (&amp; Electrification)</v>
      </c>
      <c r="G185" s="843" t="s">
        <v>1441</v>
      </c>
      <c r="H185" s="843" t="s">
        <v>575</v>
      </c>
      <c r="I185" s="844"/>
      <c r="J185" s="844"/>
      <c r="K185" s="845">
        <f>'5.1 Inventory (GC)'!C33</f>
        <v>258.02269533789593</v>
      </c>
      <c r="L185" s="845">
        <f>'5.1 Inventory (GC)'!D33</f>
        <v>500.72884453190892</v>
      </c>
      <c r="M185" s="844"/>
      <c r="N185" s="844"/>
      <c r="O185" s="845">
        <f>'5.1 Inventory (GC)'!Q33</f>
        <v>137.19377972413787</v>
      </c>
      <c r="P185" s="844"/>
      <c r="Q185" s="844"/>
      <c r="R185" s="844"/>
      <c r="S185" s="844"/>
      <c r="T185" s="844"/>
      <c r="U185" s="844"/>
      <c r="V185" s="844"/>
      <c r="W185" s="845">
        <f>'5.1 Inventory (GC)'!F33</f>
        <v>162.18708859770112</v>
      </c>
      <c r="X185" s="845">
        <f>'5.1 Inventory (GC)'!G33</f>
        <v>231.57132572413795</v>
      </c>
      <c r="Y185" s="845">
        <f>'5.1 Inventory (GC)'!H33</f>
        <v>188.94891705747125</v>
      </c>
      <c r="Z185" s="845">
        <f>'5.1 Inventory (GC)'!I33</f>
        <v>156.41202505747125</v>
      </c>
      <c r="AA185" s="845">
        <f>'5.1 Inventory (GC)'!J33</f>
        <v>160.44999839080461</v>
      </c>
      <c r="AB185" s="845">
        <f>'5.1 Inventory (GC)'!K33</f>
        <v>185.34572205747125</v>
      </c>
      <c r="AC185" s="845">
        <f>'5.1 Inventory (GC)'!L33</f>
        <v>200.71152372413783</v>
      </c>
      <c r="AD185" s="845">
        <f>'5.1 Inventory (GC)'!M33</f>
        <v>195.57944205747131</v>
      </c>
      <c r="AE185" s="845">
        <f>'5.1 Inventory (GC)'!N33</f>
        <v>141.29270239080458</v>
      </c>
      <c r="AF185" s="845">
        <f>'5.1 Inventory (GC)'!O33</f>
        <v>161.7799197241379</v>
      </c>
      <c r="AG185" s="845">
        <f>'5.1 Inventory (GC)'!P33</f>
        <v>195.57606205747129</v>
      </c>
      <c r="AH185" s="845">
        <f>'5.1 Inventory (GC)'!Q33</f>
        <v>137.19377972413787</v>
      </c>
      <c r="AI185" s="844"/>
      <c r="AJ185" s="844"/>
      <c r="AK185" s="844"/>
      <c r="AL185" s="844"/>
      <c r="AM185" s="844"/>
      <c r="AN185" s="844"/>
      <c r="AO185" s="843" t="str">
        <f>'5.1 Inventory (GC)'!S33</f>
        <v/>
      </c>
      <c r="AP185" s="843">
        <v>152</v>
      </c>
      <c r="AQ185" s="843" t="str">
        <f>Settings!$A$1</f>
        <v>V2</v>
      </c>
    </row>
    <row r="186" spans="1:43" s="843" customFormat="1" x14ac:dyDescent="0.2">
      <c r="A186" s="843">
        <f>'Input-FX Rates'!$C$4</f>
        <v>242</v>
      </c>
      <c r="B186" s="843" t="str">
        <f>'Input-FX Rates'!$B$4</f>
        <v>ICH Icheon (242)</v>
      </c>
      <c r="C186" s="843">
        <f>'Input-FX Rates'!$C$6</f>
        <v>750</v>
      </c>
      <c r="D186" s="843" t="str">
        <f>'Input-FX Rates'!$B$6</f>
        <v>750 BU Sensorics &amp; Controls</v>
      </c>
      <c r="E186" s="843" t="str">
        <f>'Input-FX Rates'!$C$5</f>
        <v>7521 &amp; 7522</v>
      </c>
      <c r="F186" s="843" t="str">
        <f>'Input-FX Rates'!$B$5</f>
        <v>7521 &amp; 7522 PL Mechatronic Sensors (&amp; Electrification)</v>
      </c>
      <c r="G186" s="843" t="s">
        <v>1441</v>
      </c>
      <c r="H186" s="843" t="s">
        <v>576</v>
      </c>
      <c r="I186" s="844"/>
      <c r="J186" s="844"/>
      <c r="K186" s="845">
        <f>'5.1 Inventory (GC)'!C34</f>
        <v>0</v>
      </c>
      <c r="L186" s="845">
        <f>'5.1 Inventory (GC)'!D34</f>
        <v>0</v>
      </c>
      <c r="M186" s="844"/>
      <c r="N186" s="844"/>
      <c r="O186" s="845">
        <f>'5.1 Inventory (GC)'!Q34</f>
        <v>0</v>
      </c>
      <c r="P186" s="844"/>
      <c r="Q186" s="844"/>
      <c r="R186" s="844"/>
      <c r="S186" s="844"/>
      <c r="T186" s="844"/>
      <c r="U186" s="844"/>
      <c r="V186" s="844"/>
      <c r="W186" s="845">
        <f>'5.1 Inventory (GC)'!F34</f>
        <v>0</v>
      </c>
      <c r="X186" s="845">
        <f>'5.1 Inventory (GC)'!G34</f>
        <v>0</v>
      </c>
      <c r="Y186" s="845">
        <f>'5.1 Inventory (GC)'!H34</f>
        <v>0</v>
      </c>
      <c r="Z186" s="845">
        <f>'5.1 Inventory (GC)'!I34</f>
        <v>0</v>
      </c>
      <c r="AA186" s="845">
        <f>'5.1 Inventory (GC)'!J34</f>
        <v>0</v>
      </c>
      <c r="AB186" s="845">
        <f>'5.1 Inventory (GC)'!K34</f>
        <v>0</v>
      </c>
      <c r="AC186" s="845">
        <f>'5.1 Inventory (GC)'!L34</f>
        <v>0</v>
      </c>
      <c r="AD186" s="845">
        <f>'5.1 Inventory (GC)'!M34</f>
        <v>0</v>
      </c>
      <c r="AE186" s="845">
        <f>'5.1 Inventory (GC)'!N34</f>
        <v>0</v>
      </c>
      <c r="AF186" s="845">
        <f>'5.1 Inventory (GC)'!O34</f>
        <v>0</v>
      </c>
      <c r="AG186" s="845">
        <f>'5.1 Inventory (GC)'!P34</f>
        <v>0</v>
      </c>
      <c r="AH186" s="845">
        <f>'5.1 Inventory (GC)'!Q34</f>
        <v>0</v>
      </c>
      <c r="AI186" s="844"/>
      <c r="AJ186" s="844"/>
      <c r="AK186" s="844"/>
      <c r="AL186" s="844"/>
      <c r="AM186" s="844"/>
      <c r="AN186" s="844"/>
      <c r="AO186" s="843" t="str">
        <f>'5.1 Inventory (GC)'!S34</f>
        <v/>
      </c>
      <c r="AP186" s="843">
        <v>153</v>
      </c>
      <c r="AQ186" s="843" t="str">
        <f>Settings!$A$1</f>
        <v>V2</v>
      </c>
    </row>
    <row r="187" spans="1:43" s="843" customFormat="1" x14ac:dyDescent="0.2">
      <c r="A187" s="843">
        <f>'Input-FX Rates'!$C$4</f>
        <v>242</v>
      </c>
      <c r="B187" s="843" t="str">
        <f>'Input-FX Rates'!$B$4</f>
        <v>ICH Icheon (242)</v>
      </c>
      <c r="C187" s="843">
        <f>'Input-FX Rates'!$C$6</f>
        <v>750</v>
      </c>
      <c r="D187" s="843" t="str">
        <f>'Input-FX Rates'!$B$6</f>
        <v>750 BU Sensorics &amp; Controls</v>
      </c>
      <c r="E187" s="843" t="str">
        <f>'Input-FX Rates'!$C$5</f>
        <v>7521 &amp; 7522</v>
      </c>
      <c r="F187" s="843" t="str">
        <f>'Input-FX Rates'!$B$5</f>
        <v>7521 &amp; 7522 PL Mechatronic Sensors (&amp; Electrification)</v>
      </c>
      <c r="G187" s="843" t="s">
        <v>1441</v>
      </c>
      <c r="H187" s="843" t="s">
        <v>561</v>
      </c>
      <c r="I187" s="844"/>
      <c r="J187" s="844"/>
      <c r="K187" s="845">
        <f>'5.1 Inventory (GC)'!C35</f>
        <v>0</v>
      </c>
      <c r="L187" s="845">
        <f>'5.1 Inventory (GC)'!D35</f>
        <v>0</v>
      </c>
      <c r="M187" s="844"/>
      <c r="N187" s="844"/>
      <c r="O187" s="845">
        <f>'5.1 Inventory (GC)'!Q35</f>
        <v>0</v>
      </c>
      <c r="P187" s="844"/>
      <c r="Q187" s="844"/>
      <c r="R187" s="844"/>
      <c r="S187" s="844"/>
      <c r="T187" s="844"/>
      <c r="U187" s="844"/>
      <c r="V187" s="844"/>
      <c r="W187" s="845">
        <f>'5.1 Inventory (GC)'!F35</f>
        <v>0</v>
      </c>
      <c r="X187" s="845">
        <f>'5.1 Inventory (GC)'!G35</f>
        <v>0</v>
      </c>
      <c r="Y187" s="845">
        <f>'5.1 Inventory (GC)'!H35</f>
        <v>0</v>
      </c>
      <c r="Z187" s="845">
        <f>'5.1 Inventory (GC)'!I35</f>
        <v>0</v>
      </c>
      <c r="AA187" s="845">
        <f>'5.1 Inventory (GC)'!J35</f>
        <v>0</v>
      </c>
      <c r="AB187" s="845">
        <f>'5.1 Inventory (GC)'!K35</f>
        <v>0</v>
      </c>
      <c r="AC187" s="845">
        <f>'5.1 Inventory (GC)'!L35</f>
        <v>0</v>
      </c>
      <c r="AD187" s="845">
        <f>'5.1 Inventory (GC)'!M35</f>
        <v>0</v>
      </c>
      <c r="AE187" s="845">
        <f>'5.1 Inventory (GC)'!N35</f>
        <v>0</v>
      </c>
      <c r="AF187" s="845">
        <f>'5.1 Inventory (GC)'!O35</f>
        <v>0</v>
      </c>
      <c r="AG187" s="845">
        <f>'5.1 Inventory (GC)'!P35</f>
        <v>0</v>
      </c>
      <c r="AH187" s="845">
        <f>'5.1 Inventory (GC)'!Q35</f>
        <v>0</v>
      </c>
      <c r="AI187" s="844"/>
      <c r="AJ187" s="844"/>
      <c r="AK187" s="844"/>
      <c r="AL187" s="844"/>
      <c r="AM187" s="844"/>
      <c r="AN187" s="844"/>
      <c r="AO187" s="843" t="str">
        <f>'5.1 Inventory (GC)'!S35</f>
        <v/>
      </c>
      <c r="AP187" s="843">
        <v>154</v>
      </c>
      <c r="AQ187" s="843" t="str">
        <f>Settings!$A$1</f>
        <v>V2</v>
      </c>
    </row>
    <row r="188" spans="1:43" s="843" customFormat="1" x14ac:dyDescent="0.2">
      <c r="A188" s="843">
        <f>'Input-FX Rates'!$C$4</f>
        <v>242</v>
      </c>
      <c r="B188" s="843" t="str">
        <f>'Input-FX Rates'!$B$4</f>
        <v>ICH Icheon (242)</v>
      </c>
      <c r="C188" s="843">
        <f>'Input-FX Rates'!$C$6</f>
        <v>750</v>
      </c>
      <c r="D188" s="843" t="str">
        <f>'Input-FX Rates'!$B$6</f>
        <v>750 BU Sensorics &amp; Controls</v>
      </c>
      <c r="E188" s="843" t="str">
        <f>'Input-FX Rates'!$C$5</f>
        <v>7521 &amp; 7522</v>
      </c>
      <c r="F188" s="843" t="str">
        <f>'Input-FX Rates'!$B$5</f>
        <v>7521 &amp; 7522 PL Mechatronic Sensors (&amp; Electrification)</v>
      </c>
      <c r="G188" s="843" t="s">
        <v>1441</v>
      </c>
      <c r="H188" s="843" t="s">
        <v>562</v>
      </c>
      <c r="I188" s="844"/>
      <c r="J188" s="844"/>
      <c r="K188" s="845">
        <f>'5.1 Inventory (GC)'!C36</f>
        <v>0</v>
      </c>
      <c r="L188" s="845">
        <f>'5.1 Inventory (GC)'!D36</f>
        <v>0</v>
      </c>
      <c r="M188" s="844"/>
      <c r="N188" s="844"/>
      <c r="O188" s="845">
        <f>'5.1 Inventory (GC)'!Q36</f>
        <v>0</v>
      </c>
      <c r="P188" s="844"/>
      <c r="Q188" s="844"/>
      <c r="R188" s="844"/>
      <c r="S188" s="844"/>
      <c r="T188" s="844"/>
      <c r="U188" s="844"/>
      <c r="V188" s="844"/>
      <c r="W188" s="845">
        <f>'5.1 Inventory (GC)'!F36</f>
        <v>0</v>
      </c>
      <c r="X188" s="845">
        <f>'5.1 Inventory (GC)'!G36</f>
        <v>0</v>
      </c>
      <c r="Y188" s="845">
        <f>'5.1 Inventory (GC)'!H36</f>
        <v>0</v>
      </c>
      <c r="Z188" s="845">
        <f>'5.1 Inventory (GC)'!I36</f>
        <v>0</v>
      </c>
      <c r="AA188" s="845">
        <f>'5.1 Inventory (GC)'!J36</f>
        <v>0</v>
      </c>
      <c r="AB188" s="845">
        <f>'5.1 Inventory (GC)'!K36</f>
        <v>0</v>
      </c>
      <c r="AC188" s="845">
        <f>'5.1 Inventory (GC)'!L36</f>
        <v>0</v>
      </c>
      <c r="AD188" s="845">
        <f>'5.1 Inventory (GC)'!M36</f>
        <v>0</v>
      </c>
      <c r="AE188" s="845">
        <f>'5.1 Inventory (GC)'!N36</f>
        <v>0</v>
      </c>
      <c r="AF188" s="845">
        <f>'5.1 Inventory (GC)'!O36</f>
        <v>0</v>
      </c>
      <c r="AG188" s="845">
        <f>'5.1 Inventory (GC)'!P36</f>
        <v>0</v>
      </c>
      <c r="AH188" s="845">
        <f>'5.1 Inventory (GC)'!Q36</f>
        <v>0</v>
      </c>
      <c r="AI188" s="844"/>
      <c r="AJ188" s="844"/>
      <c r="AK188" s="844"/>
      <c r="AL188" s="844"/>
      <c r="AM188" s="844"/>
      <c r="AN188" s="844"/>
      <c r="AO188" s="843" t="str">
        <f>'5.1 Inventory (GC)'!S36</f>
        <v/>
      </c>
      <c r="AP188" s="843">
        <v>155</v>
      </c>
      <c r="AQ188" s="843" t="str">
        <f>Settings!$A$1</f>
        <v>V2</v>
      </c>
    </row>
    <row r="189" spans="1:43" s="843" customFormat="1" x14ac:dyDescent="0.2">
      <c r="A189" s="843">
        <f>'Input-FX Rates'!$C$4</f>
        <v>242</v>
      </c>
      <c r="B189" s="843" t="str">
        <f>'Input-FX Rates'!$B$4</f>
        <v>ICH Icheon (242)</v>
      </c>
      <c r="C189" s="843">
        <f>'Input-FX Rates'!$C$6</f>
        <v>750</v>
      </c>
      <c r="D189" s="843" t="str">
        <f>'Input-FX Rates'!$B$6</f>
        <v>750 BU Sensorics &amp; Controls</v>
      </c>
      <c r="E189" s="843" t="str">
        <f>'Input-FX Rates'!$C$5</f>
        <v>7521 &amp; 7522</v>
      </c>
      <c r="F189" s="843" t="str">
        <f>'Input-FX Rates'!$B$5</f>
        <v>7521 &amp; 7522 PL Mechatronic Sensors (&amp; Electrification)</v>
      </c>
      <c r="G189" s="843" t="s">
        <v>1441</v>
      </c>
      <c r="H189" s="843" t="s">
        <v>564</v>
      </c>
      <c r="I189" s="844"/>
      <c r="J189" s="844"/>
      <c r="K189" s="845">
        <f>'5.1 Inventory (GC)'!C37</f>
        <v>0</v>
      </c>
      <c r="L189" s="845">
        <f>'5.1 Inventory (GC)'!D37</f>
        <v>0</v>
      </c>
      <c r="M189" s="844"/>
      <c r="N189" s="844"/>
      <c r="O189" s="845">
        <f>'5.1 Inventory (GC)'!Q37</f>
        <v>0</v>
      </c>
      <c r="P189" s="844"/>
      <c r="Q189" s="844"/>
      <c r="R189" s="844"/>
      <c r="S189" s="844"/>
      <c r="T189" s="844"/>
      <c r="U189" s="844"/>
      <c r="V189" s="844"/>
      <c r="W189" s="845">
        <f>'5.1 Inventory (GC)'!F37</f>
        <v>0</v>
      </c>
      <c r="X189" s="845">
        <f>'5.1 Inventory (GC)'!G37</f>
        <v>0</v>
      </c>
      <c r="Y189" s="845">
        <f>'5.1 Inventory (GC)'!H37</f>
        <v>0</v>
      </c>
      <c r="Z189" s="845">
        <f>'5.1 Inventory (GC)'!I37</f>
        <v>0</v>
      </c>
      <c r="AA189" s="845">
        <f>'5.1 Inventory (GC)'!J37</f>
        <v>0</v>
      </c>
      <c r="AB189" s="845">
        <f>'5.1 Inventory (GC)'!K37</f>
        <v>0</v>
      </c>
      <c r="AC189" s="845">
        <f>'5.1 Inventory (GC)'!L37</f>
        <v>0</v>
      </c>
      <c r="AD189" s="845">
        <f>'5.1 Inventory (GC)'!M37</f>
        <v>0</v>
      </c>
      <c r="AE189" s="845">
        <f>'5.1 Inventory (GC)'!N37</f>
        <v>0</v>
      </c>
      <c r="AF189" s="845">
        <f>'5.1 Inventory (GC)'!O37</f>
        <v>0</v>
      </c>
      <c r="AG189" s="845">
        <f>'5.1 Inventory (GC)'!P37</f>
        <v>0</v>
      </c>
      <c r="AH189" s="845">
        <f>'5.1 Inventory (GC)'!Q37</f>
        <v>0</v>
      </c>
      <c r="AI189" s="844"/>
      <c r="AJ189" s="844"/>
      <c r="AK189" s="844"/>
      <c r="AL189" s="844"/>
      <c r="AM189" s="844"/>
      <c r="AN189" s="844"/>
      <c r="AO189" s="843" t="str">
        <f>'5.1 Inventory (GC)'!S37</f>
        <v/>
      </c>
      <c r="AP189" s="843">
        <v>157</v>
      </c>
      <c r="AQ189" s="843" t="str">
        <f>Settings!$A$1</f>
        <v>V2</v>
      </c>
    </row>
    <row r="190" spans="1:43" s="843" customFormat="1" x14ac:dyDescent="0.2">
      <c r="A190" s="843">
        <f>'Input-FX Rates'!$C$4</f>
        <v>242</v>
      </c>
      <c r="B190" s="843" t="str">
        <f>'Input-FX Rates'!$B$4</f>
        <v>ICH Icheon (242)</v>
      </c>
      <c r="C190" s="843">
        <f>'Input-FX Rates'!$C$6</f>
        <v>750</v>
      </c>
      <c r="D190" s="843" t="str">
        <f>'Input-FX Rates'!$B$6</f>
        <v>750 BU Sensorics &amp; Controls</v>
      </c>
      <c r="E190" s="843" t="str">
        <f>'Input-FX Rates'!$C$5</f>
        <v>7521 &amp; 7522</v>
      </c>
      <c r="F190" s="843" t="str">
        <f>'Input-FX Rates'!$B$5</f>
        <v>7521 &amp; 7522 PL Mechatronic Sensors (&amp; Electrification)</v>
      </c>
      <c r="G190" s="843" t="s">
        <v>1441</v>
      </c>
      <c r="H190" s="843" t="s">
        <v>567</v>
      </c>
      <c r="I190" s="844"/>
      <c r="J190" s="844"/>
      <c r="K190" s="845">
        <f>'5.1 Inventory (GC)'!C38</f>
        <v>0</v>
      </c>
      <c r="L190" s="845">
        <f>'5.1 Inventory (GC)'!D38</f>
        <v>0</v>
      </c>
      <c r="M190" s="844"/>
      <c r="N190" s="844"/>
      <c r="O190" s="845">
        <f>'5.1 Inventory (GC)'!Q38</f>
        <v>0</v>
      </c>
      <c r="P190" s="844"/>
      <c r="Q190" s="844"/>
      <c r="R190" s="844"/>
      <c r="S190" s="844"/>
      <c r="T190" s="844"/>
      <c r="U190" s="844"/>
      <c r="V190" s="844"/>
      <c r="W190" s="845">
        <f>'5.1 Inventory (GC)'!F38</f>
        <v>0</v>
      </c>
      <c r="X190" s="845">
        <f>'5.1 Inventory (GC)'!G38</f>
        <v>0</v>
      </c>
      <c r="Y190" s="845">
        <f>'5.1 Inventory (GC)'!H38</f>
        <v>0</v>
      </c>
      <c r="Z190" s="845">
        <f>'5.1 Inventory (GC)'!I38</f>
        <v>0</v>
      </c>
      <c r="AA190" s="845">
        <f>'5.1 Inventory (GC)'!J38</f>
        <v>0</v>
      </c>
      <c r="AB190" s="845">
        <f>'5.1 Inventory (GC)'!K38</f>
        <v>0</v>
      </c>
      <c r="AC190" s="845">
        <f>'5.1 Inventory (GC)'!L38</f>
        <v>0</v>
      </c>
      <c r="AD190" s="845">
        <f>'5.1 Inventory (GC)'!M38</f>
        <v>0</v>
      </c>
      <c r="AE190" s="845">
        <f>'5.1 Inventory (GC)'!N38</f>
        <v>0</v>
      </c>
      <c r="AF190" s="845">
        <f>'5.1 Inventory (GC)'!O38</f>
        <v>0</v>
      </c>
      <c r="AG190" s="845">
        <f>'5.1 Inventory (GC)'!P38</f>
        <v>0</v>
      </c>
      <c r="AH190" s="845">
        <f>'5.1 Inventory (GC)'!Q38</f>
        <v>0</v>
      </c>
      <c r="AI190" s="844"/>
      <c r="AJ190" s="844"/>
      <c r="AK190" s="844"/>
      <c r="AL190" s="844"/>
      <c r="AM190" s="844"/>
      <c r="AN190" s="844"/>
      <c r="AO190" s="843" t="str">
        <f>'5.1 Inventory (GC)'!S38</f>
        <v/>
      </c>
      <c r="AP190" s="843">
        <v>158</v>
      </c>
      <c r="AQ190" s="843" t="str">
        <f>Settings!$A$1</f>
        <v>V2</v>
      </c>
    </row>
    <row r="191" spans="1:43" s="843" customFormat="1" x14ac:dyDescent="0.2">
      <c r="A191" s="843">
        <f>'Input-FX Rates'!$C$4</f>
        <v>242</v>
      </c>
      <c r="B191" s="843" t="str">
        <f>'Input-FX Rates'!$B$4</f>
        <v>ICH Icheon (242)</v>
      </c>
      <c r="C191" s="843">
        <f>'Input-FX Rates'!$C$6</f>
        <v>750</v>
      </c>
      <c r="D191" s="843" t="str">
        <f>'Input-FX Rates'!$B$6</f>
        <v>750 BU Sensorics &amp; Controls</v>
      </c>
      <c r="E191" s="843" t="str">
        <f>'Input-FX Rates'!$C$5</f>
        <v>7521 &amp; 7522</v>
      </c>
      <c r="F191" s="843" t="str">
        <f>'Input-FX Rates'!$B$5</f>
        <v>7521 &amp; 7522 PL Mechatronic Sensors (&amp; Electrification)</v>
      </c>
      <c r="G191" s="843" t="s">
        <v>1441</v>
      </c>
      <c r="H191" s="843" t="s">
        <v>561</v>
      </c>
      <c r="I191" s="844"/>
      <c r="J191" s="844"/>
      <c r="K191" s="845">
        <f>'5.1 Inventory (GC)'!C39</f>
        <v>0</v>
      </c>
      <c r="L191" s="845">
        <f>'5.1 Inventory (GC)'!D39</f>
        <v>0</v>
      </c>
      <c r="M191" s="844"/>
      <c r="N191" s="844"/>
      <c r="O191" s="845">
        <f>'5.1 Inventory (GC)'!Q39</f>
        <v>0</v>
      </c>
      <c r="P191" s="844"/>
      <c r="Q191" s="844"/>
      <c r="R191" s="844"/>
      <c r="S191" s="844"/>
      <c r="T191" s="844"/>
      <c r="U191" s="844"/>
      <c r="V191" s="844"/>
      <c r="W191" s="845">
        <f>'5.1 Inventory (GC)'!F39</f>
        <v>0</v>
      </c>
      <c r="X191" s="845">
        <f>'5.1 Inventory (GC)'!G39</f>
        <v>0</v>
      </c>
      <c r="Y191" s="845">
        <f>'5.1 Inventory (GC)'!H39</f>
        <v>0</v>
      </c>
      <c r="Z191" s="845">
        <f>'5.1 Inventory (GC)'!I39</f>
        <v>0</v>
      </c>
      <c r="AA191" s="845">
        <f>'5.1 Inventory (GC)'!J39</f>
        <v>0</v>
      </c>
      <c r="AB191" s="845">
        <f>'5.1 Inventory (GC)'!K39</f>
        <v>0</v>
      </c>
      <c r="AC191" s="845">
        <f>'5.1 Inventory (GC)'!L39</f>
        <v>0</v>
      </c>
      <c r="AD191" s="845">
        <f>'5.1 Inventory (GC)'!M39</f>
        <v>0</v>
      </c>
      <c r="AE191" s="845">
        <f>'5.1 Inventory (GC)'!N39</f>
        <v>0</v>
      </c>
      <c r="AF191" s="845">
        <f>'5.1 Inventory (GC)'!O39</f>
        <v>0</v>
      </c>
      <c r="AG191" s="845">
        <f>'5.1 Inventory (GC)'!P39</f>
        <v>0</v>
      </c>
      <c r="AH191" s="845">
        <f>'5.1 Inventory (GC)'!Q39</f>
        <v>0</v>
      </c>
      <c r="AI191" s="844"/>
      <c r="AJ191" s="844"/>
      <c r="AK191" s="844"/>
      <c r="AL191" s="844"/>
      <c r="AM191" s="844"/>
      <c r="AN191" s="844"/>
      <c r="AO191" s="843" t="str">
        <f>'5.1 Inventory (GC)'!S39</f>
        <v/>
      </c>
      <c r="AP191" s="843">
        <v>159</v>
      </c>
      <c r="AQ191" s="843" t="str">
        <f>Settings!$A$1</f>
        <v>V2</v>
      </c>
    </row>
    <row r="192" spans="1:43" s="843" customFormat="1" x14ac:dyDescent="0.2">
      <c r="A192" s="843">
        <f>'Input-FX Rates'!$C$4</f>
        <v>242</v>
      </c>
      <c r="B192" s="843" t="str">
        <f>'Input-FX Rates'!$B$4</f>
        <v>ICH Icheon (242)</v>
      </c>
      <c r="C192" s="843">
        <f>'Input-FX Rates'!$C$6</f>
        <v>750</v>
      </c>
      <c r="D192" s="843" t="str">
        <f>'Input-FX Rates'!$B$6</f>
        <v>750 BU Sensorics &amp; Controls</v>
      </c>
      <c r="E192" s="843" t="str">
        <f>'Input-FX Rates'!$C$5</f>
        <v>7521 &amp; 7522</v>
      </c>
      <c r="F192" s="843" t="str">
        <f>'Input-FX Rates'!$B$5</f>
        <v>7521 &amp; 7522 PL Mechatronic Sensors (&amp; Electrification)</v>
      </c>
      <c r="G192" s="843" t="s">
        <v>1441</v>
      </c>
      <c r="H192" s="843" t="s">
        <v>577</v>
      </c>
      <c r="I192" s="844"/>
      <c r="J192" s="844"/>
      <c r="K192" s="845">
        <f>'5.1 Inventory (GC)'!C40</f>
        <v>0</v>
      </c>
      <c r="L192" s="845">
        <f>'5.1 Inventory (GC)'!D40</f>
        <v>1546.2468372223784</v>
      </c>
      <c r="M192" s="844"/>
      <c r="N192" s="844"/>
      <c r="O192" s="845">
        <f>'5.1 Inventory (GC)'!Q40</f>
        <v>490.5047393103448</v>
      </c>
      <c r="P192" s="844"/>
      <c r="Q192" s="844"/>
      <c r="R192" s="844"/>
      <c r="S192" s="844"/>
      <c r="T192" s="844"/>
      <c r="U192" s="844"/>
      <c r="V192" s="844"/>
      <c r="W192" s="845">
        <f>'5.1 Inventory (GC)'!F40</f>
        <v>1576.3300413793104</v>
      </c>
      <c r="X192" s="845">
        <f>'5.1 Inventory (GC)'!G40</f>
        <v>1465.7902958620689</v>
      </c>
      <c r="Y192" s="845">
        <f>'5.1 Inventory (GC)'!H40</f>
        <v>1355.2505496551723</v>
      </c>
      <c r="Z192" s="845">
        <f>'5.1 Inventory (GC)'!I40</f>
        <v>1244.7108041379311</v>
      </c>
      <c r="AA192" s="845">
        <f>'5.1 Inventory (GC)'!J40</f>
        <v>1134.1710586206896</v>
      </c>
      <c r="AB192" s="845">
        <f>'5.1 Inventory (GC)'!K40</f>
        <v>1023.631312413793</v>
      </c>
      <c r="AC192" s="845">
        <f>'5.1 Inventory (GC)'!L40</f>
        <v>913.09156689655185</v>
      </c>
      <c r="AD192" s="845">
        <f>'5.1 Inventory (GC)'!M40</f>
        <v>802.55182068965507</v>
      </c>
      <c r="AE192" s="845">
        <f>'5.1 Inventory (GC)'!N40</f>
        <v>692.0120751724138</v>
      </c>
      <c r="AF192" s="845">
        <f>'5.1 Inventory (GC)'!O40</f>
        <v>581.47232951724141</v>
      </c>
      <c r="AG192" s="845">
        <f>'5.1 Inventory (GC)'!P40</f>
        <v>533.72927337931037</v>
      </c>
      <c r="AH192" s="845">
        <f>'5.1 Inventory (GC)'!Q40</f>
        <v>490.5047393103448</v>
      </c>
      <c r="AI192" s="844"/>
      <c r="AJ192" s="844"/>
      <c r="AK192" s="844"/>
      <c r="AL192" s="844"/>
      <c r="AM192" s="844"/>
      <c r="AN192" s="844"/>
      <c r="AO192" s="843" t="str">
        <f>'5.1 Inventory (GC)'!S40</f>
        <v/>
      </c>
      <c r="AP192" s="843">
        <v>160</v>
      </c>
      <c r="AQ192" s="843" t="str">
        <f>Settings!$A$1</f>
        <v>V2</v>
      </c>
    </row>
    <row r="193" spans="1:43" s="843" customFormat="1" x14ac:dyDescent="0.2">
      <c r="A193" s="843">
        <f>'Input-FX Rates'!$C$4</f>
        <v>242</v>
      </c>
      <c r="B193" s="843" t="str">
        <f>'Input-FX Rates'!$B$4</f>
        <v>ICH Icheon (242)</v>
      </c>
      <c r="C193" s="843">
        <f>'Input-FX Rates'!$C$6</f>
        <v>750</v>
      </c>
      <c r="D193" s="843" t="str">
        <f>'Input-FX Rates'!$B$6</f>
        <v>750 BU Sensorics &amp; Controls</v>
      </c>
      <c r="E193" s="843" t="str">
        <f>'Input-FX Rates'!$C$5</f>
        <v>7521 &amp; 7522</v>
      </c>
      <c r="F193" s="843" t="str">
        <f>'Input-FX Rates'!$B$5</f>
        <v>7521 &amp; 7522 PL Mechatronic Sensors (&amp; Electrification)</v>
      </c>
      <c r="G193" s="843" t="s">
        <v>1441</v>
      </c>
      <c r="H193" s="843" t="s">
        <v>562</v>
      </c>
      <c r="I193" s="844"/>
      <c r="J193" s="844"/>
      <c r="K193" s="845">
        <f>'5.1 Inventory (GC)'!C41</f>
        <v>0</v>
      </c>
      <c r="L193" s="845">
        <f>'5.1 Inventory (GC)'!D41</f>
        <v>0</v>
      </c>
      <c r="M193" s="844"/>
      <c r="N193" s="844"/>
      <c r="O193" s="845">
        <f>'5.1 Inventory (GC)'!Q41</f>
        <v>0</v>
      </c>
      <c r="P193" s="844"/>
      <c r="Q193" s="844"/>
      <c r="R193" s="844"/>
      <c r="S193" s="844"/>
      <c r="T193" s="844"/>
      <c r="U193" s="844"/>
      <c r="V193" s="844"/>
      <c r="W193" s="845">
        <f>'5.1 Inventory (GC)'!F41</f>
        <v>0</v>
      </c>
      <c r="X193" s="845">
        <f>'5.1 Inventory (GC)'!G41</f>
        <v>0</v>
      </c>
      <c r="Y193" s="845">
        <f>'5.1 Inventory (GC)'!H41</f>
        <v>0</v>
      </c>
      <c r="Z193" s="845">
        <f>'5.1 Inventory (GC)'!I41</f>
        <v>0</v>
      </c>
      <c r="AA193" s="845">
        <f>'5.1 Inventory (GC)'!J41</f>
        <v>0</v>
      </c>
      <c r="AB193" s="845">
        <f>'5.1 Inventory (GC)'!K41</f>
        <v>0</v>
      </c>
      <c r="AC193" s="845">
        <f>'5.1 Inventory (GC)'!L41</f>
        <v>0</v>
      </c>
      <c r="AD193" s="845">
        <f>'5.1 Inventory (GC)'!M41</f>
        <v>0</v>
      </c>
      <c r="AE193" s="845">
        <f>'5.1 Inventory (GC)'!N41</f>
        <v>0</v>
      </c>
      <c r="AF193" s="845">
        <f>'5.1 Inventory (GC)'!O41</f>
        <v>0</v>
      </c>
      <c r="AG193" s="845">
        <f>'5.1 Inventory (GC)'!P41</f>
        <v>0</v>
      </c>
      <c r="AH193" s="845">
        <f>'5.1 Inventory (GC)'!Q41</f>
        <v>0</v>
      </c>
      <c r="AI193" s="844"/>
      <c r="AJ193" s="844"/>
      <c r="AK193" s="844"/>
      <c r="AL193" s="844"/>
      <c r="AM193" s="844"/>
      <c r="AN193" s="844"/>
      <c r="AO193" s="843" t="str">
        <f>'5.1 Inventory (GC)'!S41</f>
        <v/>
      </c>
      <c r="AP193" s="843">
        <v>161</v>
      </c>
      <c r="AQ193" s="843" t="str">
        <f>Settings!$A$1</f>
        <v>V2</v>
      </c>
    </row>
    <row r="194" spans="1:43" s="843" customFormat="1" x14ac:dyDescent="0.2">
      <c r="A194" s="843">
        <f>'Input-FX Rates'!$C$4</f>
        <v>242</v>
      </c>
      <c r="B194" s="843" t="str">
        <f>'Input-FX Rates'!$B$4</f>
        <v>ICH Icheon (242)</v>
      </c>
      <c r="C194" s="843">
        <f>'Input-FX Rates'!$C$6</f>
        <v>750</v>
      </c>
      <c r="D194" s="843" t="str">
        <f>'Input-FX Rates'!$B$6</f>
        <v>750 BU Sensorics &amp; Controls</v>
      </c>
      <c r="E194" s="843" t="str">
        <f>'Input-FX Rates'!$C$5</f>
        <v>7521 &amp; 7522</v>
      </c>
      <c r="F194" s="843" t="str">
        <f>'Input-FX Rates'!$B$5</f>
        <v>7521 &amp; 7522 PL Mechatronic Sensors (&amp; Electrification)</v>
      </c>
      <c r="G194" s="843" t="s">
        <v>1441</v>
      </c>
      <c r="H194" s="843" t="s">
        <v>569</v>
      </c>
      <c r="I194" s="844"/>
      <c r="J194" s="844"/>
      <c r="K194" s="845">
        <f>'5.1 Inventory (GC)'!C42</f>
        <v>0</v>
      </c>
      <c r="L194" s="845">
        <f>'5.1 Inventory (GC)'!D42</f>
        <v>0</v>
      </c>
      <c r="M194" s="844"/>
      <c r="N194" s="844"/>
      <c r="O194" s="845">
        <f>'5.1 Inventory (GC)'!Q42</f>
        <v>0</v>
      </c>
      <c r="P194" s="844"/>
      <c r="Q194" s="844"/>
      <c r="R194" s="844"/>
      <c r="S194" s="844"/>
      <c r="T194" s="844"/>
      <c r="U194" s="844"/>
      <c r="V194" s="844"/>
      <c r="W194" s="845">
        <f>'5.1 Inventory (GC)'!F42</f>
        <v>0</v>
      </c>
      <c r="X194" s="845">
        <f>'5.1 Inventory (GC)'!G42</f>
        <v>0</v>
      </c>
      <c r="Y194" s="845">
        <f>'5.1 Inventory (GC)'!H42</f>
        <v>0</v>
      </c>
      <c r="Z194" s="845">
        <f>'5.1 Inventory (GC)'!I42</f>
        <v>0</v>
      </c>
      <c r="AA194" s="845">
        <f>'5.1 Inventory (GC)'!J42</f>
        <v>0</v>
      </c>
      <c r="AB194" s="845">
        <f>'5.1 Inventory (GC)'!K42</f>
        <v>0</v>
      </c>
      <c r="AC194" s="845">
        <f>'5.1 Inventory (GC)'!L42</f>
        <v>0</v>
      </c>
      <c r="AD194" s="845">
        <f>'5.1 Inventory (GC)'!M42</f>
        <v>0</v>
      </c>
      <c r="AE194" s="845">
        <f>'5.1 Inventory (GC)'!N42</f>
        <v>0</v>
      </c>
      <c r="AF194" s="845">
        <f>'5.1 Inventory (GC)'!O42</f>
        <v>0</v>
      </c>
      <c r="AG194" s="845">
        <f>'5.1 Inventory (GC)'!P42</f>
        <v>0</v>
      </c>
      <c r="AH194" s="845">
        <f>'5.1 Inventory (GC)'!Q42</f>
        <v>0</v>
      </c>
      <c r="AI194" s="844"/>
      <c r="AJ194" s="844"/>
      <c r="AK194" s="844"/>
      <c r="AL194" s="844"/>
      <c r="AM194" s="844"/>
      <c r="AN194" s="844"/>
      <c r="AO194" s="843" t="str">
        <f>'5.1 Inventory (GC)'!S42</f>
        <v/>
      </c>
      <c r="AP194" s="843">
        <v>162</v>
      </c>
      <c r="AQ194" s="843" t="str">
        <f>Settings!$A$1</f>
        <v>V2</v>
      </c>
    </row>
    <row r="195" spans="1:43" s="843" customFormat="1" x14ac:dyDescent="0.2">
      <c r="A195" s="843">
        <f>'Input-FX Rates'!$C$4</f>
        <v>242</v>
      </c>
      <c r="B195" s="843" t="str">
        <f>'Input-FX Rates'!$B$4</f>
        <v>ICH Icheon (242)</v>
      </c>
      <c r="C195" s="843">
        <f>'Input-FX Rates'!$C$6</f>
        <v>750</v>
      </c>
      <c r="D195" s="843" t="str">
        <f>'Input-FX Rates'!$B$6</f>
        <v>750 BU Sensorics &amp; Controls</v>
      </c>
      <c r="E195" s="843" t="str">
        <f>'Input-FX Rates'!$C$5</f>
        <v>7521 &amp; 7522</v>
      </c>
      <c r="F195" s="843" t="str">
        <f>'Input-FX Rates'!$B$5</f>
        <v>7521 &amp; 7522 PL Mechatronic Sensors (&amp; Electrification)</v>
      </c>
      <c r="G195" s="843" t="s">
        <v>1441</v>
      </c>
      <c r="H195" s="843" t="s">
        <v>570</v>
      </c>
      <c r="I195" s="844"/>
      <c r="J195" s="844"/>
      <c r="K195" s="845">
        <f>'5.1 Inventory (GC)'!C43</f>
        <v>0</v>
      </c>
      <c r="L195" s="845">
        <f>'5.1 Inventory (GC)'!D43</f>
        <v>0</v>
      </c>
      <c r="M195" s="844"/>
      <c r="N195" s="844"/>
      <c r="O195" s="845">
        <f>'5.1 Inventory (GC)'!Q43</f>
        <v>0</v>
      </c>
      <c r="P195" s="844"/>
      <c r="Q195" s="844"/>
      <c r="R195" s="844"/>
      <c r="S195" s="844"/>
      <c r="T195" s="844"/>
      <c r="U195" s="844"/>
      <c r="V195" s="844"/>
      <c r="W195" s="845">
        <f>'5.1 Inventory (GC)'!F43</f>
        <v>0</v>
      </c>
      <c r="X195" s="845">
        <f>'5.1 Inventory (GC)'!G43</f>
        <v>0</v>
      </c>
      <c r="Y195" s="845">
        <f>'5.1 Inventory (GC)'!H43</f>
        <v>0</v>
      </c>
      <c r="Z195" s="845">
        <f>'5.1 Inventory (GC)'!I43</f>
        <v>0</v>
      </c>
      <c r="AA195" s="845">
        <f>'5.1 Inventory (GC)'!J43</f>
        <v>0</v>
      </c>
      <c r="AB195" s="845">
        <f>'5.1 Inventory (GC)'!K43</f>
        <v>0</v>
      </c>
      <c r="AC195" s="845">
        <f>'5.1 Inventory (GC)'!L43</f>
        <v>0</v>
      </c>
      <c r="AD195" s="845">
        <f>'5.1 Inventory (GC)'!M43</f>
        <v>0</v>
      </c>
      <c r="AE195" s="845">
        <f>'5.1 Inventory (GC)'!N43</f>
        <v>0</v>
      </c>
      <c r="AF195" s="845">
        <f>'5.1 Inventory (GC)'!O43</f>
        <v>0</v>
      </c>
      <c r="AG195" s="845">
        <f>'5.1 Inventory (GC)'!P43</f>
        <v>0</v>
      </c>
      <c r="AH195" s="845">
        <f>'5.1 Inventory (GC)'!Q43</f>
        <v>0</v>
      </c>
      <c r="AI195" s="844"/>
      <c r="AJ195" s="844"/>
      <c r="AK195" s="844"/>
      <c r="AL195" s="844"/>
      <c r="AM195" s="844"/>
      <c r="AN195" s="844"/>
      <c r="AO195" s="843" t="str">
        <f>'5.1 Inventory (GC)'!S43</f>
        <v/>
      </c>
      <c r="AP195" s="843">
        <v>163</v>
      </c>
      <c r="AQ195" s="843" t="str">
        <f>Settings!$A$1</f>
        <v>V2</v>
      </c>
    </row>
    <row r="196" spans="1:43" s="843" customFormat="1" x14ac:dyDescent="0.2">
      <c r="A196" s="843">
        <f>'Input-FX Rates'!$C$4</f>
        <v>242</v>
      </c>
      <c r="B196" s="843" t="str">
        <f>'Input-FX Rates'!$B$4</f>
        <v>ICH Icheon (242)</v>
      </c>
      <c r="C196" s="843">
        <f>'Input-FX Rates'!$C$6</f>
        <v>750</v>
      </c>
      <c r="D196" s="843" t="str">
        <f>'Input-FX Rates'!$B$6</f>
        <v>750 BU Sensorics &amp; Controls</v>
      </c>
      <c r="E196" s="843" t="str">
        <f>'Input-FX Rates'!$C$5</f>
        <v>7521 &amp; 7522</v>
      </c>
      <c r="F196" s="843" t="str">
        <f>'Input-FX Rates'!$B$5</f>
        <v>7521 &amp; 7522 PL Mechatronic Sensors (&amp; Electrification)</v>
      </c>
      <c r="G196" s="843" t="s">
        <v>1441</v>
      </c>
      <c r="H196" s="843" t="s">
        <v>579</v>
      </c>
      <c r="I196" s="844"/>
      <c r="J196" s="844"/>
      <c r="K196" s="845">
        <f>'5.1 Inventory (GC)'!C45</f>
        <v>0</v>
      </c>
      <c r="L196" s="845">
        <f>'5.1 Inventory (GC)'!D45</f>
        <v>0</v>
      </c>
      <c r="M196" s="844"/>
      <c r="N196" s="844"/>
      <c r="O196" s="845">
        <f>'5.1 Inventory (GC)'!Q45</f>
        <v>0</v>
      </c>
      <c r="P196" s="844"/>
      <c r="Q196" s="844"/>
      <c r="R196" s="844"/>
      <c r="S196" s="844"/>
      <c r="T196" s="844"/>
      <c r="U196" s="844"/>
      <c r="V196" s="844"/>
      <c r="W196" s="845">
        <f>'5.1 Inventory (GC)'!F45</f>
        <v>0</v>
      </c>
      <c r="X196" s="845">
        <f>'5.1 Inventory (GC)'!G45</f>
        <v>0</v>
      </c>
      <c r="Y196" s="845">
        <f>'5.1 Inventory (GC)'!H45</f>
        <v>0</v>
      </c>
      <c r="Z196" s="845">
        <f>'5.1 Inventory (GC)'!I45</f>
        <v>0</v>
      </c>
      <c r="AA196" s="845">
        <f>'5.1 Inventory (GC)'!J45</f>
        <v>0</v>
      </c>
      <c r="AB196" s="845">
        <f>'5.1 Inventory (GC)'!K45</f>
        <v>0</v>
      </c>
      <c r="AC196" s="845">
        <f>'5.1 Inventory (GC)'!L45</f>
        <v>0</v>
      </c>
      <c r="AD196" s="845">
        <f>'5.1 Inventory (GC)'!M45</f>
        <v>0</v>
      </c>
      <c r="AE196" s="845">
        <f>'5.1 Inventory (GC)'!N45</f>
        <v>0</v>
      </c>
      <c r="AF196" s="845">
        <f>'5.1 Inventory (GC)'!O45</f>
        <v>0</v>
      </c>
      <c r="AG196" s="845">
        <f>'5.1 Inventory (GC)'!P45</f>
        <v>0</v>
      </c>
      <c r="AH196" s="845">
        <f>'5.1 Inventory (GC)'!Q45</f>
        <v>0</v>
      </c>
      <c r="AI196" s="844"/>
      <c r="AJ196" s="844"/>
      <c r="AK196" s="844"/>
      <c r="AL196" s="844"/>
      <c r="AM196" s="844"/>
      <c r="AN196" s="844"/>
      <c r="AO196" s="843" t="str">
        <f>'5.1 Inventory (GC)'!S44</f>
        <v/>
      </c>
      <c r="AP196" s="843">
        <v>164</v>
      </c>
      <c r="AQ196" s="843" t="str">
        <f>Settings!$A$1</f>
        <v>V2</v>
      </c>
    </row>
    <row r="197" spans="1:43" s="843" customFormat="1" x14ac:dyDescent="0.2">
      <c r="A197" s="843">
        <f>'Input-FX Rates'!$C$4</f>
        <v>242</v>
      </c>
      <c r="B197" s="843" t="str">
        <f>'Input-FX Rates'!$B$4</f>
        <v>ICH Icheon (242)</v>
      </c>
      <c r="C197" s="843">
        <f>'Input-FX Rates'!$C$6</f>
        <v>750</v>
      </c>
      <c r="D197" s="843" t="str">
        <f>'Input-FX Rates'!$B$6</f>
        <v>750 BU Sensorics &amp; Controls</v>
      </c>
      <c r="E197" s="843" t="str">
        <f>'Input-FX Rates'!$C$5</f>
        <v>7521 &amp; 7522</v>
      </c>
      <c r="F197" s="843" t="str">
        <f>'Input-FX Rates'!$B$5</f>
        <v>7521 &amp; 7522 PL Mechatronic Sensors (&amp; Electrification)</v>
      </c>
      <c r="G197" s="843" t="s">
        <v>1441</v>
      </c>
      <c r="H197" s="843" t="s">
        <v>580</v>
      </c>
      <c r="I197" s="844"/>
      <c r="J197" s="844"/>
      <c r="K197" s="845">
        <f>'5.1 Inventory (GC)'!C46</f>
        <v>540.02707152194739</v>
      </c>
      <c r="L197" s="845">
        <f>'5.1 Inventory (GC)'!D46</f>
        <v>2400.8732358729267</v>
      </c>
      <c r="M197" s="844"/>
      <c r="N197" s="844"/>
      <c r="O197" s="845">
        <f>'5.1 Inventory (GC)'!Q46</f>
        <v>827.41461724137935</v>
      </c>
      <c r="P197" s="844"/>
      <c r="Q197" s="844"/>
      <c r="R197" s="844"/>
      <c r="S197" s="844"/>
      <c r="T197" s="844"/>
      <c r="U197" s="844"/>
      <c r="V197" s="844"/>
      <c r="W197" s="845">
        <f>'5.1 Inventory (GC)'!F46</f>
        <v>2031.3187137931034</v>
      </c>
      <c r="X197" s="845">
        <f>'5.1 Inventory (GC)'!G46</f>
        <v>2041.7058551724135</v>
      </c>
      <c r="Y197" s="845">
        <f>'5.1 Inventory (GC)'!H46</f>
        <v>1850.0672972413793</v>
      </c>
      <c r="Z197" s="845">
        <f>'5.1 Inventory (GC)'!I46</f>
        <v>1676.5309634482758</v>
      </c>
      <c r="AA197" s="845">
        <f>'5.1 Inventory (GC)'!J46</f>
        <v>1567.9267986206896</v>
      </c>
      <c r="AB197" s="845">
        <f>'5.1 Inventory (GC)'!K46</f>
        <v>1485.8774455172415</v>
      </c>
      <c r="AC197" s="845">
        <f>'5.1 Inventory (GC)'!L46</f>
        <v>1385.7226689655174</v>
      </c>
      <c r="AD197" s="845">
        <f>'5.1 Inventory (GC)'!M46</f>
        <v>1262.4191586206896</v>
      </c>
      <c r="AE197" s="845">
        <f>'5.1 Inventory (GC)'!N46</f>
        <v>1057.7263489655172</v>
      </c>
      <c r="AF197" s="845">
        <f>'5.1 Inventory (GC)'!O46</f>
        <v>979.19375172413788</v>
      </c>
      <c r="AG197" s="845">
        <f>'5.1 Inventory (GC)'!P46</f>
        <v>970.26157517241381</v>
      </c>
      <c r="AH197" s="845">
        <f>'5.1 Inventory (GC)'!Q46</f>
        <v>827.41461724137935</v>
      </c>
      <c r="AI197" s="844"/>
      <c r="AJ197" s="844"/>
      <c r="AK197" s="844"/>
      <c r="AL197" s="844"/>
      <c r="AM197" s="844"/>
      <c r="AN197" s="844"/>
      <c r="AO197" s="843" t="str">
        <f>'5.1 Inventory (GC)'!S46</f>
        <v/>
      </c>
      <c r="AP197" s="843">
        <v>165</v>
      </c>
      <c r="AQ197" s="843" t="str">
        <f>Settings!$A$1</f>
        <v>V2</v>
      </c>
    </row>
    <row r="198" spans="1:43" s="846" customFormat="1" x14ac:dyDescent="0.2">
      <c r="A198" s="846">
        <f>'Input-FX Rates'!$C$4</f>
        <v>242</v>
      </c>
      <c r="B198" s="846" t="str">
        <f>'Input-FX Rates'!$B$4</f>
        <v>ICH Icheon (242)</v>
      </c>
      <c r="C198" s="846">
        <f>'Input-FX Rates'!$C$6</f>
        <v>750</v>
      </c>
      <c r="D198" s="846" t="str">
        <f>'Input-FX Rates'!$B$6</f>
        <v>750 BU Sensorics &amp; Controls</v>
      </c>
      <c r="E198" s="846" t="str">
        <f>'Input-FX Rates'!$C$5</f>
        <v>7521 &amp; 7522</v>
      </c>
      <c r="F198" s="846" t="str">
        <f>'Input-FX Rates'!$B$5</f>
        <v>7521 &amp; 7522 PL Mechatronic Sensors (&amp; Electrification)</v>
      </c>
      <c r="G198" s="846" t="s">
        <v>1441</v>
      </c>
      <c r="H198" s="846" t="s">
        <v>581</v>
      </c>
      <c r="I198" s="847"/>
      <c r="J198" s="847"/>
      <c r="K198" s="848">
        <f>'5.1 Inventory (GC)'!C47</f>
        <v>0</v>
      </c>
      <c r="L198" s="848">
        <f>'5.1 Inventory (GC)'!D47</f>
        <v>6.2096027346834646</v>
      </c>
      <c r="M198" s="847"/>
      <c r="N198" s="847"/>
      <c r="O198" s="848">
        <f>'5.1 Inventory (GC)'!Q47</f>
        <v>17.146496620076295</v>
      </c>
      <c r="P198" s="847"/>
      <c r="Q198" s="847"/>
      <c r="R198" s="847"/>
      <c r="S198" s="847"/>
      <c r="T198" s="847"/>
      <c r="U198" s="847"/>
      <c r="V198" s="847"/>
      <c r="W198" s="848">
        <f>'5.1 Inventory (GC)'!F47</f>
        <v>6.9842619189181825</v>
      </c>
      <c r="X198" s="848">
        <f>'5.1 Inventory (GC)'!G47</f>
        <v>6.9487296135186805</v>
      </c>
      <c r="Y198" s="848">
        <f>'5.1 Inventory (GC)'!H47</f>
        <v>7.6685112801494029</v>
      </c>
      <c r="Z198" s="848">
        <f>'5.1 Inventory (GC)'!I47</f>
        <v>8.4622725420774714</v>
      </c>
      <c r="AA198" s="848">
        <f>'5.1 Inventory (GC)'!J47</f>
        <v>9.0484211064008946</v>
      </c>
      <c r="AB198" s="848">
        <f>'5.1 Inventory (GC)'!K47</f>
        <v>9.5480700516268868</v>
      </c>
      <c r="AC198" s="848">
        <f>'5.1 Inventory (GC)'!L47</f>
        <v>10.238168325933675</v>
      </c>
      <c r="AD198" s="848">
        <f>'5.1 Inventory (GC)'!M47</f>
        <v>11.238154808607259</v>
      </c>
      <c r="AE198" s="848">
        <f>'5.1 Inventory (GC)'!N47</f>
        <v>13.41297959704467</v>
      </c>
      <c r="AF198" s="848">
        <f>'5.1 Inventory (GC)'!O47</f>
        <v>14.488717797627372</v>
      </c>
      <c r="AG198" s="848">
        <f>'5.1 Inventory (GC)'!P47</f>
        <v>14.622100164494283</v>
      </c>
      <c r="AH198" s="848">
        <f>'5.1 Inventory (GC)'!Q47</f>
        <v>17.146496620076295</v>
      </c>
      <c r="AI198" s="847"/>
      <c r="AJ198" s="847"/>
      <c r="AK198" s="847"/>
      <c r="AL198" s="847"/>
      <c r="AM198" s="847"/>
      <c r="AN198" s="847"/>
      <c r="AO198" s="846" t="str">
        <f>'5.1 Inventory (GC)'!S47</f>
        <v>YE TR 14.54, AVG TR 8.43 --&gt; B/S should be updated.</v>
      </c>
      <c r="AP198" s="846">
        <v>166</v>
      </c>
      <c r="AQ198" s="846" t="str">
        <f>Settings!$A$1</f>
        <v>V2</v>
      </c>
    </row>
    <row r="199" spans="1:43" x14ac:dyDescent="0.2">
      <c r="A199" s="439">
        <f>'Input-FX Rates'!$C$4</f>
        <v>242</v>
      </c>
      <c r="B199" s="439" t="str">
        <f>'Input-FX Rates'!$B$4</f>
        <v>ICH Icheon (242)</v>
      </c>
      <c r="C199" s="439">
        <f>'Input-FX Rates'!$C$6</f>
        <v>750</v>
      </c>
      <c r="D199" s="439" t="str">
        <f>'Input-FX Rates'!$B$6</f>
        <v>750 BU Sensorics &amp; Controls</v>
      </c>
      <c r="E199" s="439" t="str">
        <f>'Input-FX Rates'!$C$5</f>
        <v>7521 &amp; 7522</v>
      </c>
      <c r="F199" s="439" t="str">
        <f>'Input-FX Rates'!$B$5</f>
        <v>7521 &amp; 7522 PL Mechatronic Sensors (&amp; Electrification)</v>
      </c>
      <c r="G199" s="439" t="s">
        <v>1442</v>
      </c>
      <c r="H199" s="439" t="s">
        <v>1443</v>
      </c>
      <c r="I199" s="523"/>
      <c r="J199" s="523"/>
      <c r="K199" s="524">
        <f>'6. HC (GC)'!C6</f>
        <v>7249.997525078973</v>
      </c>
      <c r="L199" s="524">
        <f>'6. HC (GC)'!D6</f>
        <v>15111.540802308424</v>
      </c>
      <c r="M199" s="523"/>
      <c r="N199" s="523"/>
      <c r="O199" s="524">
        <f>'6. HC (GC)'!Q6</f>
        <v>1055.6163841379309</v>
      </c>
      <c r="P199" s="523"/>
      <c r="Q199" s="523"/>
      <c r="R199" s="523"/>
      <c r="S199" s="523"/>
      <c r="T199" s="523"/>
      <c r="U199" s="523"/>
      <c r="V199" s="523"/>
      <c r="W199" s="524">
        <f>'6. HC (GC)'!F6</f>
        <v>1199.7445020689654</v>
      </c>
      <c r="X199" s="524">
        <f>'6. HC (GC)'!G6</f>
        <v>1199.7532220689654</v>
      </c>
      <c r="Y199" s="524">
        <f>'6. HC (GC)'!H6</f>
        <v>1169.4966724137932</v>
      </c>
      <c r="Z199" s="524">
        <f>'6. HC (GC)'!I6</f>
        <v>1199.7532220689654</v>
      </c>
      <c r="AA199" s="524">
        <f>'6. HC (GC)'!J6</f>
        <v>1230.0380220689656</v>
      </c>
      <c r="AB199" s="524">
        <f>'6. HC (GC)'!K6</f>
        <v>1147.8775020689654</v>
      </c>
      <c r="AC199" s="524">
        <f>'6. HC (GC)'!L6</f>
        <v>1240.072312413793</v>
      </c>
      <c r="AD199" s="524">
        <f>'6. HC (GC)'!M6</f>
        <v>1209.2798220689656</v>
      </c>
      <c r="AE199" s="524">
        <f>'6. HC (GC)'!N6</f>
        <v>1086.3583020689655</v>
      </c>
      <c r="AF199" s="524">
        <f>'6. HC (GC)'!O6</f>
        <v>1240.012432413793</v>
      </c>
      <c r="AG199" s="524">
        <f>'6. HC (GC)'!P6</f>
        <v>1209.2595420689654</v>
      </c>
      <c r="AH199" s="524">
        <f>'6. HC (GC)'!Q6</f>
        <v>1055.6163841379309</v>
      </c>
      <c r="AI199" s="523"/>
      <c r="AJ199" s="523"/>
      <c r="AK199" s="523"/>
      <c r="AL199" s="523"/>
      <c r="AM199" s="523"/>
      <c r="AN199" s="523"/>
      <c r="AO199" s="439" t="str">
        <f>'6. HC (GC)'!U6</f>
        <v/>
      </c>
      <c r="AP199" s="439">
        <v>168</v>
      </c>
      <c r="AQ199" s="439" t="str">
        <f>Settings!$A$1</f>
        <v>V2</v>
      </c>
    </row>
    <row r="200" spans="1:43" x14ac:dyDescent="0.2">
      <c r="A200" s="439">
        <f>'Input-FX Rates'!$C$4</f>
        <v>242</v>
      </c>
      <c r="B200" s="439" t="str">
        <f>'Input-FX Rates'!$B$4</f>
        <v>ICH Icheon (242)</v>
      </c>
      <c r="C200" s="439">
        <f>'Input-FX Rates'!$C$6</f>
        <v>750</v>
      </c>
      <c r="D200" s="439" t="str">
        <f>'Input-FX Rates'!$B$6</f>
        <v>750 BU Sensorics &amp; Controls</v>
      </c>
      <c r="E200" s="439" t="str">
        <f>'Input-FX Rates'!$C$5</f>
        <v>7521 &amp; 7522</v>
      </c>
      <c r="F200" s="439" t="str">
        <f>'Input-FX Rates'!$B$5</f>
        <v>7521 &amp; 7522 PL Mechatronic Sensors (&amp; Electrification)</v>
      </c>
      <c r="G200" s="439" t="s">
        <v>1442</v>
      </c>
      <c r="H200" s="439" t="s">
        <v>1444</v>
      </c>
      <c r="I200" s="523"/>
      <c r="J200" s="523"/>
      <c r="K200" s="524">
        <f>'6. HC (GC)'!C7</f>
        <v>21</v>
      </c>
      <c r="L200" s="524">
        <f>'6. HC (GC)'!D7</f>
        <v>21</v>
      </c>
      <c r="M200" s="523"/>
      <c r="N200" s="523"/>
      <c r="O200" s="524">
        <f>'6. HC (GC)'!Q7</f>
        <v>22</v>
      </c>
      <c r="P200" s="523"/>
      <c r="Q200" s="523"/>
      <c r="R200" s="523"/>
      <c r="S200" s="523"/>
      <c r="T200" s="523"/>
      <c r="U200" s="523"/>
      <c r="V200" s="523"/>
      <c r="W200" s="523"/>
      <c r="X200" s="523"/>
      <c r="Y200" s="523"/>
      <c r="Z200" s="523"/>
      <c r="AA200" s="523"/>
      <c r="AB200" s="523"/>
      <c r="AC200" s="523"/>
      <c r="AD200" s="523"/>
      <c r="AE200" s="523"/>
      <c r="AF200" s="523"/>
      <c r="AG200" s="523"/>
      <c r="AH200" s="523"/>
      <c r="AI200" s="523"/>
      <c r="AJ200" s="523"/>
      <c r="AK200" s="523"/>
      <c r="AL200" s="523"/>
      <c r="AM200" s="523"/>
      <c r="AN200" s="523"/>
      <c r="AO200" s="439" t="str">
        <f>'6. HC (GC)'!U7</f>
        <v>1 operator(quality inspector) is necessary due to the quality issues</v>
      </c>
      <c r="AP200" s="439">
        <v>170</v>
      </c>
      <c r="AQ200" s="439" t="str">
        <f>Settings!$A$1</f>
        <v>V2</v>
      </c>
    </row>
    <row r="201" spans="1:43" x14ac:dyDescent="0.2">
      <c r="A201" s="439">
        <f>'Input-FX Rates'!$C$4</f>
        <v>242</v>
      </c>
      <c r="B201" s="439" t="str">
        <f>'Input-FX Rates'!$B$4</f>
        <v>ICH Icheon (242)</v>
      </c>
      <c r="C201" s="439">
        <f>'Input-FX Rates'!$C$6</f>
        <v>750</v>
      </c>
      <c r="D201" s="439" t="str">
        <f>'Input-FX Rates'!$B$6</f>
        <v>750 BU Sensorics &amp; Controls</v>
      </c>
      <c r="E201" s="439" t="str">
        <f>'Input-FX Rates'!$C$5</f>
        <v>7521 &amp; 7522</v>
      </c>
      <c r="F201" s="439" t="str">
        <f>'Input-FX Rates'!$B$5</f>
        <v>7521 &amp; 7522 PL Mechatronic Sensors (&amp; Electrification)</v>
      </c>
      <c r="G201" s="439" t="s">
        <v>1442</v>
      </c>
      <c r="H201" s="439" t="s">
        <v>1445</v>
      </c>
      <c r="I201" s="523"/>
      <c r="J201" s="523"/>
      <c r="K201" s="524">
        <f>'6. HC (GC)'!C8</f>
        <v>0</v>
      </c>
      <c r="L201" s="524">
        <f>'6. HC (GC)'!D8</f>
        <v>0</v>
      </c>
      <c r="M201" s="523"/>
      <c r="N201" s="523"/>
      <c r="O201" s="524">
        <f>'6. HC (GC)'!Q8</f>
        <v>2</v>
      </c>
      <c r="P201" s="523"/>
      <c r="Q201" s="523"/>
      <c r="R201" s="523"/>
      <c r="S201" s="523"/>
      <c r="T201" s="523"/>
      <c r="U201" s="523"/>
      <c r="V201" s="523"/>
      <c r="W201" s="523"/>
      <c r="X201" s="523"/>
      <c r="Y201" s="523"/>
      <c r="Z201" s="523"/>
      <c r="AA201" s="523"/>
      <c r="AB201" s="523"/>
      <c r="AC201" s="523"/>
      <c r="AD201" s="523"/>
      <c r="AE201" s="523"/>
      <c r="AF201" s="523"/>
      <c r="AG201" s="523"/>
      <c r="AH201" s="523"/>
      <c r="AI201" s="523"/>
      <c r="AJ201" s="523"/>
      <c r="AK201" s="523"/>
      <c r="AL201" s="523"/>
      <c r="AM201" s="523"/>
      <c r="AN201" s="523"/>
      <c r="AO201" s="439" t="str">
        <f>'6. HC (GC)'!U8</f>
        <v>MES does not have assigned technicians. 2 Technicians who are dedicated to MES are necessary(OEE target is not met &amp; production is below capacity during 2023 due to the lack of technicians)</v>
      </c>
      <c r="AP201" s="439">
        <v>171</v>
      </c>
      <c r="AQ201" s="439" t="str">
        <f>Settings!$A$1</f>
        <v>V2</v>
      </c>
    </row>
    <row r="202" spans="1:43" x14ac:dyDescent="0.2">
      <c r="A202" s="439">
        <f>'Input-FX Rates'!$C$4</f>
        <v>242</v>
      </c>
      <c r="B202" s="439" t="str">
        <f>'Input-FX Rates'!$B$4</f>
        <v>ICH Icheon (242)</v>
      </c>
      <c r="C202" s="439">
        <f>'Input-FX Rates'!$C$6</f>
        <v>750</v>
      </c>
      <c r="D202" s="439" t="str">
        <f>'Input-FX Rates'!$B$6</f>
        <v>750 BU Sensorics &amp; Controls</v>
      </c>
      <c r="E202" s="439" t="str">
        <f>'Input-FX Rates'!$C$5</f>
        <v>7521 &amp; 7522</v>
      </c>
      <c r="F202" s="439" t="str">
        <f>'Input-FX Rates'!$B$5</f>
        <v>7521 &amp; 7522 PL Mechatronic Sensors (&amp; Electrification)</v>
      </c>
      <c r="G202" s="439" t="s">
        <v>1442</v>
      </c>
      <c r="H202" s="439" t="s">
        <v>1446</v>
      </c>
      <c r="I202" s="523"/>
      <c r="J202" s="523"/>
      <c r="K202" s="524">
        <f>'6. HC (GC)'!C9</f>
        <v>1</v>
      </c>
      <c r="L202" s="524">
        <f>'6. HC (GC)'!D9</f>
        <v>1</v>
      </c>
      <c r="M202" s="523"/>
      <c r="N202" s="523"/>
      <c r="O202" s="524">
        <f>'6. HC (GC)'!Q9</f>
        <v>1</v>
      </c>
      <c r="P202" s="523"/>
      <c r="Q202" s="523"/>
      <c r="R202" s="523"/>
      <c r="S202" s="523"/>
      <c r="T202" s="523"/>
      <c r="U202" s="523"/>
      <c r="V202" s="523"/>
      <c r="W202" s="523"/>
      <c r="X202" s="523"/>
      <c r="Y202" s="523"/>
      <c r="Z202" s="523"/>
      <c r="AA202" s="523"/>
      <c r="AB202" s="523"/>
      <c r="AC202" s="523"/>
      <c r="AD202" s="523"/>
      <c r="AE202" s="523"/>
      <c r="AF202" s="523"/>
      <c r="AG202" s="523"/>
      <c r="AH202" s="523"/>
      <c r="AI202" s="523"/>
      <c r="AJ202" s="523"/>
      <c r="AK202" s="523"/>
      <c r="AL202" s="523"/>
      <c r="AM202" s="523"/>
      <c r="AN202" s="523"/>
      <c r="AO202" s="439" t="str">
        <f>'6. HC (GC)'!U9</f>
        <v/>
      </c>
      <c r="AP202" s="439">
        <v>172</v>
      </c>
      <c r="AQ202" s="439" t="str">
        <f>Settings!$A$1</f>
        <v>V2</v>
      </c>
    </row>
    <row r="203" spans="1:43" x14ac:dyDescent="0.2">
      <c r="A203" s="439">
        <f>'Input-FX Rates'!$C$4</f>
        <v>242</v>
      </c>
      <c r="B203" s="439" t="str">
        <f>'Input-FX Rates'!$B$4</f>
        <v>ICH Icheon (242)</v>
      </c>
      <c r="C203" s="439">
        <f>'Input-FX Rates'!$C$6</f>
        <v>750</v>
      </c>
      <c r="D203" s="439" t="str">
        <f>'Input-FX Rates'!$B$6</f>
        <v>750 BU Sensorics &amp; Controls</v>
      </c>
      <c r="E203" s="439" t="str">
        <f>'Input-FX Rates'!$C$5</f>
        <v>7521 &amp; 7522</v>
      </c>
      <c r="F203" s="439" t="str">
        <f>'Input-FX Rates'!$B$5</f>
        <v>7521 &amp; 7522 PL Mechatronic Sensors (&amp; Electrification)</v>
      </c>
      <c r="G203" s="439" t="s">
        <v>1442</v>
      </c>
      <c r="H203" s="439" t="s">
        <v>1447</v>
      </c>
      <c r="I203" s="523"/>
      <c r="J203" s="523"/>
      <c r="K203" s="524">
        <f>'6. HC (GC)'!C10</f>
        <v>1</v>
      </c>
      <c r="L203" s="524">
        <f>'6. HC (GC)'!D10</f>
        <v>1</v>
      </c>
      <c r="M203" s="523"/>
      <c r="N203" s="523"/>
      <c r="O203" s="524">
        <f>'6. HC (GC)'!Q10</f>
        <v>1</v>
      </c>
      <c r="P203" s="523"/>
      <c r="Q203" s="523"/>
      <c r="R203" s="523"/>
      <c r="S203" s="523"/>
      <c r="T203" s="523"/>
      <c r="U203" s="523"/>
      <c r="V203" s="523"/>
      <c r="W203" s="523"/>
      <c r="X203" s="523"/>
      <c r="Y203" s="523"/>
      <c r="Z203" s="523"/>
      <c r="AA203" s="523"/>
      <c r="AB203" s="523"/>
      <c r="AC203" s="523"/>
      <c r="AD203" s="523"/>
      <c r="AE203" s="523"/>
      <c r="AF203" s="523"/>
      <c r="AG203" s="523"/>
      <c r="AH203" s="523"/>
      <c r="AI203" s="523"/>
      <c r="AJ203" s="523"/>
      <c r="AK203" s="523"/>
      <c r="AL203" s="523"/>
      <c r="AM203" s="523"/>
      <c r="AN203" s="523"/>
      <c r="AO203" s="439" t="str">
        <f>'6. HC (GC)'!U10</f>
        <v/>
      </c>
      <c r="AP203" s="439">
        <v>173</v>
      </c>
      <c r="AQ203" s="439" t="str">
        <f>Settings!$A$1</f>
        <v>V2</v>
      </c>
    </row>
    <row r="204" spans="1:43" x14ac:dyDescent="0.2">
      <c r="A204" s="439">
        <f>'Input-FX Rates'!$C$4</f>
        <v>242</v>
      </c>
      <c r="B204" s="439" t="str">
        <f>'Input-FX Rates'!$B$4</f>
        <v>ICH Icheon (242)</v>
      </c>
      <c r="C204" s="439">
        <f>'Input-FX Rates'!$C$6</f>
        <v>750</v>
      </c>
      <c r="D204" s="439" t="str">
        <f>'Input-FX Rates'!$B$6</f>
        <v>750 BU Sensorics &amp; Controls</v>
      </c>
      <c r="E204" s="439" t="str">
        <f>'Input-FX Rates'!$C$5</f>
        <v>7521 &amp; 7522</v>
      </c>
      <c r="F204" s="439" t="str">
        <f>'Input-FX Rates'!$B$5</f>
        <v>7521 &amp; 7522 PL Mechatronic Sensors (&amp; Electrification)</v>
      </c>
      <c r="G204" s="439" t="s">
        <v>1442</v>
      </c>
      <c r="H204" s="439" t="s">
        <v>1448</v>
      </c>
      <c r="I204" s="523"/>
      <c r="J204" s="523"/>
      <c r="K204" s="524">
        <f>'6. HC (GC)'!C11</f>
        <v>23</v>
      </c>
      <c r="L204" s="524">
        <f>'6. HC (GC)'!D11</f>
        <v>23</v>
      </c>
      <c r="M204" s="523"/>
      <c r="N204" s="523"/>
      <c r="O204" s="524">
        <f>'6. HC (GC)'!Q11</f>
        <v>26</v>
      </c>
      <c r="P204" s="523"/>
      <c r="Q204" s="523"/>
      <c r="R204" s="523"/>
      <c r="S204" s="523"/>
      <c r="T204" s="523"/>
      <c r="U204" s="523"/>
      <c r="V204" s="523"/>
      <c r="W204" s="523"/>
      <c r="X204" s="523"/>
      <c r="Y204" s="523"/>
      <c r="Z204" s="523"/>
      <c r="AA204" s="523"/>
      <c r="AB204" s="523"/>
      <c r="AC204" s="523"/>
      <c r="AD204" s="523"/>
      <c r="AE204" s="523"/>
      <c r="AF204" s="523"/>
      <c r="AG204" s="523"/>
      <c r="AH204" s="523"/>
      <c r="AI204" s="523"/>
      <c r="AJ204" s="523"/>
      <c r="AK204" s="523"/>
      <c r="AL204" s="523"/>
      <c r="AM204" s="523"/>
      <c r="AN204" s="523"/>
      <c r="AO204" s="439" t="str">
        <f>'6. HC (GC)'!U11</f>
        <v/>
      </c>
      <c r="AP204" s="439">
        <v>174</v>
      </c>
      <c r="AQ204" s="439" t="str">
        <f>Settings!$A$1</f>
        <v>V2</v>
      </c>
    </row>
    <row r="205" spans="1:43" x14ac:dyDescent="0.2">
      <c r="A205" s="439">
        <f>'Input-FX Rates'!$C$4</f>
        <v>242</v>
      </c>
      <c r="B205" s="439" t="str">
        <f>'Input-FX Rates'!$B$4</f>
        <v>ICH Icheon (242)</v>
      </c>
      <c r="C205" s="439">
        <f>'Input-FX Rates'!$C$6</f>
        <v>750</v>
      </c>
      <c r="D205" s="439" t="str">
        <f>'Input-FX Rates'!$B$6</f>
        <v>750 BU Sensorics &amp; Controls</v>
      </c>
      <c r="E205" s="439" t="str">
        <f>'Input-FX Rates'!$C$5</f>
        <v>7521 &amp; 7522</v>
      </c>
      <c r="F205" s="439" t="str">
        <f>'Input-FX Rates'!$B$5</f>
        <v>7521 &amp; 7522 PL Mechatronic Sensors (&amp; Electrification)</v>
      </c>
      <c r="G205" s="439" t="s">
        <v>1442</v>
      </c>
      <c r="H205" s="439" t="s">
        <v>1449</v>
      </c>
      <c r="I205" s="523"/>
      <c r="J205" s="523"/>
      <c r="K205" s="524">
        <f>'6. HC (GC)'!C12</f>
        <v>1</v>
      </c>
      <c r="L205" s="524">
        <f>'6. HC (GC)'!D12</f>
        <v>1</v>
      </c>
      <c r="M205" s="523"/>
      <c r="N205" s="523"/>
      <c r="O205" s="524">
        <f>'6. HC (GC)'!Q12</f>
        <v>1</v>
      </c>
      <c r="P205" s="523"/>
      <c r="Q205" s="523"/>
      <c r="R205" s="523"/>
      <c r="S205" s="523"/>
      <c r="T205" s="523"/>
      <c r="U205" s="523"/>
      <c r="V205" s="523"/>
      <c r="W205" s="524">
        <f>'6. HC (GC)'!F12</f>
        <v>1</v>
      </c>
      <c r="X205" s="524">
        <f>'6. HC (GC)'!G12</f>
        <v>1</v>
      </c>
      <c r="Y205" s="524">
        <f>'6. HC (GC)'!H12</f>
        <v>1</v>
      </c>
      <c r="Z205" s="524">
        <f>'6. HC (GC)'!I12</f>
        <v>1</v>
      </c>
      <c r="AA205" s="524">
        <f>'6. HC (GC)'!J12</f>
        <v>1</v>
      </c>
      <c r="AB205" s="524">
        <f>'6. HC (GC)'!K12</f>
        <v>1</v>
      </c>
      <c r="AC205" s="524">
        <f>'6. HC (GC)'!L12</f>
        <v>1</v>
      </c>
      <c r="AD205" s="524">
        <f>'6. HC (GC)'!M12</f>
        <v>1</v>
      </c>
      <c r="AE205" s="524">
        <f>'6. HC (GC)'!N12</f>
        <v>1</v>
      </c>
      <c r="AF205" s="524">
        <f>'6. HC (GC)'!O12</f>
        <v>1</v>
      </c>
      <c r="AG205" s="524">
        <f>'6. HC (GC)'!P12</f>
        <v>1</v>
      </c>
      <c r="AH205" s="524">
        <f>'6. HC (GC)'!Q12</f>
        <v>1</v>
      </c>
      <c r="AI205" s="523"/>
      <c r="AJ205" s="523"/>
      <c r="AK205" s="523"/>
      <c r="AL205" s="523"/>
      <c r="AM205" s="523"/>
      <c r="AN205" s="523"/>
      <c r="AO205" s="439" t="str">
        <f>'6. HC (GC)'!U12</f>
        <v/>
      </c>
      <c r="AP205" s="439">
        <v>175</v>
      </c>
      <c r="AQ205" s="439" t="str">
        <f>Settings!$A$1</f>
        <v>V2</v>
      </c>
    </row>
    <row r="206" spans="1:43" x14ac:dyDescent="0.2">
      <c r="A206" s="439">
        <f>'Input-FX Rates'!$C$4</f>
        <v>242</v>
      </c>
      <c r="B206" s="439" t="str">
        <f>'Input-FX Rates'!$B$4</f>
        <v>ICH Icheon (242)</v>
      </c>
      <c r="C206" s="439">
        <f>'Input-FX Rates'!$C$6</f>
        <v>750</v>
      </c>
      <c r="D206" s="439" t="str">
        <f>'Input-FX Rates'!$B$6</f>
        <v>750 BU Sensorics &amp; Controls</v>
      </c>
      <c r="E206" s="439" t="str">
        <f>'Input-FX Rates'!$C$5</f>
        <v>7521 &amp; 7522</v>
      </c>
      <c r="F206" s="439" t="str">
        <f>'Input-FX Rates'!$B$5</f>
        <v>7521 &amp; 7522 PL Mechatronic Sensors (&amp; Electrification)</v>
      </c>
      <c r="G206" s="439" t="s">
        <v>1442</v>
      </c>
      <c r="H206" s="439" t="s">
        <v>1450</v>
      </c>
      <c r="I206" s="523"/>
      <c r="J206" s="523"/>
      <c r="K206" s="524">
        <f>'6. HC (GC)'!C13</f>
        <v>0</v>
      </c>
      <c r="L206" s="524">
        <f>'6. HC (GC)'!D13</f>
        <v>0</v>
      </c>
      <c r="M206" s="523"/>
      <c r="N206" s="523"/>
      <c r="O206" s="524">
        <f>'6. HC (GC)'!Q13</f>
        <v>0</v>
      </c>
      <c r="P206" s="523"/>
      <c r="Q206" s="523"/>
      <c r="R206" s="523"/>
      <c r="S206" s="523"/>
      <c r="T206" s="523"/>
      <c r="U206" s="523"/>
      <c r="V206" s="523"/>
      <c r="W206" s="524">
        <f>'6. HC (GC)'!F13</f>
        <v>0</v>
      </c>
      <c r="X206" s="524">
        <f>'6. HC (GC)'!G13</f>
        <v>0</v>
      </c>
      <c r="Y206" s="524">
        <f>'6. HC (GC)'!H13</f>
        <v>0</v>
      </c>
      <c r="Z206" s="524">
        <f>'6. HC (GC)'!I13</f>
        <v>0</v>
      </c>
      <c r="AA206" s="524">
        <f>'6. HC (GC)'!J13</f>
        <v>0</v>
      </c>
      <c r="AB206" s="524">
        <f>'6. HC (GC)'!K13</f>
        <v>0</v>
      </c>
      <c r="AC206" s="524">
        <f>'6. HC (GC)'!L13</f>
        <v>0</v>
      </c>
      <c r="AD206" s="524">
        <f>'6. HC (GC)'!M13</f>
        <v>0</v>
      </c>
      <c r="AE206" s="524">
        <f>'6. HC (GC)'!N13</f>
        <v>0</v>
      </c>
      <c r="AF206" s="524">
        <f>'6. HC (GC)'!O13</f>
        <v>0</v>
      </c>
      <c r="AG206" s="524">
        <f>'6. HC (GC)'!P13</f>
        <v>0</v>
      </c>
      <c r="AH206" s="524">
        <f>'6. HC (GC)'!Q13</f>
        <v>0</v>
      </c>
      <c r="AI206" s="523"/>
      <c r="AJ206" s="523"/>
      <c r="AK206" s="523"/>
      <c r="AL206" s="523"/>
      <c r="AM206" s="523"/>
      <c r="AN206" s="523"/>
      <c r="AO206" s="439" t="str">
        <f>'6. HC (GC)'!U13</f>
        <v/>
      </c>
      <c r="AP206" s="439">
        <v>176</v>
      </c>
      <c r="AQ206" s="439" t="str">
        <f>Settings!$A$1</f>
        <v>V2</v>
      </c>
    </row>
    <row r="207" spans="1:43" x14ac:dyDescent="0.2">
      <c r="A207" s="439">
        <f>'Input-FX Rates'!$C$4</f>
        <v>242</v>
      </c>
      <c r="B207" s="439" t="str">
        <f>'Input-FX Rates'!$B$4</f>
        <v>ICH Icheon (242)</v>
      </c>
      <c r="C207" s="439">
        <f>'Input-FX Rates'!$C$6</f>
        <v>750</v>
      </c>
      <c r="D207" s="439" t="str">
        <f>'Input-FX Rates'!$B$6</f>
        <v>750 BU Sensorics &amp; Controls</v>
      </c>
      <c r="E207" s="439" t="str">
        <f>'Input-FX Rates'!$C$5</f>
        <v>7521 &amp; 7522</v>
      </c>
      <c r="F207" s="439" t="str">
        <f>'Input-FX Rates'!$B$5</f>
        <v>7521 &amp; 7522 PL Mechatronic Sensors (&amp; Electrification)</v>
      </c>
      <c r="G207" s="439" t="s">
        <v>1442</v>
      </c>
      <c r="H207" s="439" t="s">
        <v>1451</v>
      </c>
      <c r="I207" s="523"/>
      <c r="J207" s="523"/>
      <c r="K207" s="524">
        <f>'6. HC (GC)'!C14</f>
        <v>0</v>
      </c>
      <c r="L207" s="524">
        <f>'6. HC (GC)'!D14</f>
        <v>0</v>
      </c>
      <c r="M207" s="523"/>
      <c r="N207" s="523"/>
      <c r="O207" s="524">
        <f>'6. HC (GC)'!Q14</f>
        <v>0</v>
      </c>
      <c r="P207" s="523"/>
      <c r="Q207" s="523"/>
      <c r="R207" s="523"/>
      <c r="S207" s="523"/>
      <c r="T207" s="523"/>
      <c r="U207" s="523"/>
      <c r="V207" s="523"/>
      <c r="W207" s="524">
        <f>'6. HC (GC)'!F14</f>
        <v>0</v>
      </c>
      <c r="X207" s="524">
        <f>'6. HC (GC)'!G14</f>
        <v>0</v>
      </c>
      <c r="Y207" s="524">
        <f>'6. HC (GC)'!H14</f>
        <v>0</v>
      </c>
      <c r="Z207" s="524">
        <f>'6. HC (GC)'!I14</f>
        <v>0</v>
      </c>
      <c r="AA207" s="524">
        <f>'6. HC (GC)'!J14</f>
        <v>0</v>
      </c>
      <c r="AB207" s="524">
        <f>'6. HC (GC)'!K14</f>
        <v>0</v>
      </c>
      <c r="AC207" s="524">
        <f>'6. HC (GC)'!L14</f>
        <v>0</v>
      </c>
      <c r="AD207" s="524">
        <f>'6. HC (GC)'!M14</f>
        <v>0</v>
      </c>
      <c r="AE207" s="524">
        <f>'6. HC (GC)'!N14</f>
        <v>0</v>
      </c>
      <c r="AF207" s="524">
        <f>'6. HC (GC)'!O14</f>
        <v>0</v>
      </c>
      <c r="AG207" s="524">
        <f>'6. HC (GC)'!P14</f>
        <v>0</v>
      </c>
      <c r="AH207" s="524">
        <f>'6. HC (GC)'!Q14</f>
        <v>0</v>
      </c>
      <c r="AI207" s="523"/>
      <c r="AJ207" s="523"/>
      <c r="AK207" s="523"/>
      <c r="AL207" s="523"/>
      <c r="AM207" s="523"/>
      <c r="AN207" s="523"/>
      <c r="AO207" s="439" t="str">
        <f>'6. HC (GC)'!U14</f>
        <v/>
      </c>
      <c r="AP207" s="439">
        <v>177</v>
      </c>
      <c r="AQ207" s="439" t="str">
        <f>Settings!$A$1</f>
        <v>V2</v>
      </c>
    </row>
    <row r="208" spans="1:43" x14ac:dyDescent="0.2">
      <c r="A208" s="439">
        <f>'Input-FX Rates'!$C$4</f>
        <v>242</v>
      </c>
      <c r="B208" s="439" t="str">
        <f>'Input-FX Rates'!$B$4</f>
        <v>ICH Icheon (242)</v>
      </c>
      <c r="C208" s="439">
        <f>'Input-FX Rates'!$C$6</f>
        <v>750</v>
      </c>
      <c r="D208" s="439" t="str">
        <f>'Input-FX Rates'!$B$6</f>
        <v>750 BU Sensorics &amp; Controls</v>
      </c>
      <c r="E208" s="439" t="str">
        <f>'Input-FX Rates'!$C$5</f>
        <v>7521 &amp; 7522</v>
      </c>
      <c r="F208" s="439" t="str">
        <f>'Input-FX Rates'!$B$5</f>
        <v>7521 &amp; 7522 PL Mechatronic Sensors (&amp; Electrification)</v>
      </c>
      <c r="G208" s="439" t="s">
        <v>1442</v>
      </c>
      <c r="H208" s="439" t="s">
        <v>1452</v>
      </c>
      <c r="I208" s="523"/>
      <c r="J208" s="523"/>
      <c r="K208" s="524">
        <f>'6. HC (GC)'!C15</f>
        <v>0</v>
      </c>
      <c r="L208" s="524">
        <f>'6. HC (GC)'!D15</f>
        <v>0</v>
      </c>
      <c r="M208" s="523"/>
      <c r="N208" s="523"/>
      <c r="O208" s="524">
        <f>'6. HC (GC)'!Q15</f>
        <v>0</v>
      </c>
      <c r="P208" s="523"/>
      <c r="Q208" s="523"/>
      <c r="R208" s="523"/>
      <c r="S208" s="523"/>
      <c r="T208" s="523"/>
      <c r="U208" s="523"/>
      <c r="V208" s="523"/>
      <c r="W208" s="524">
        <f>'6. HC (GC)'!F15</f>
        <v>0</v>
      </c>
      <c r="X208" s="524">
        <f>'6. HC (GC)'!G15</f>
        <v>0</v>
      </c>
      <c r="Y208" s="524">
        <f>'6. HC (GC)'!H15</f>
        <v>0</v>
      </c>
      <c r="Z208" s="524">
        <f>'6. HC (GC)'!I15</f>
        <v>0</v>
      </c>
      <c r="AA208" s="524">
        <f>'6. HC (GC)'!J15</f>
        <v>0</v>
      </c>
      <c r="AB208" s="524">
        <f>'6. HC (GC)'!K15</f>
        <v>0</v>
      </c>
      <c r="AC208" s="524">
        <f>'6. HC (GC)'!L15</f>
        <v>0</v>
      </c>
      <c r="AD208" s="524">
        <f>'6. HC (GC)'!M15</f>
        <v>0</v>
      </c>
      <c r="AE208" s="524">
        <f>'6. HC (GC)'!N15</f>
        <v>0</v>
      </c>
      <c r="AF208" s="524">
        <f>'6. HC (GC)'!O15</f>
        <v>0</v>
      </c>
      <c r="AG208" s="524">
        <f>'6. HC (GC)'!P15</f>
        <v>0</v>
      </c>
      <c r="AH208" s="524">
        <f>'6. HC (GC)'!Q15</f>
        <v>0</v>
      </c>
      <c r="AI208" s="523"/>
      <c r="AJ208" s="523"/>
      <c r="AK208" s="523"/>
      <c r="AL208" s="523"/>
      <c r="AM208" s="523"/>
      <c r="AN208" s="523"/>
      <c r="AO208" s="439" t="str">
        <f>'6. HC (GC)'!U15</f>
        <v/>
      </c>
      <c r="AP208" s="439">
        <v>178</v>
      </c>
      <c r="AQ208" s="439" t="str">
        <f>Settings!$A$1</f>
        <v>V2</v>
      </c>
    </row>
    <row r="209" spans="1:43" x14ac:dyDescent="0.2">
      <c r="A209" s="439">
        <f>'Input-FX Rates'!$C$4</f>
        <v>242</v>
      </c>
      <c r="B209" s="439" t="str">
        <f>'Input-FX Rates'!$B$4</f>
        <v>ICH Icheon (242)</v>
      </c>
      <c r="C209" s="439">
        <f>'Input-FX Rates'!$C$6</f>
        <v>750</v>
      </c>
      <c r="D209" s="439" t="str">
        <f>'Input-FX Rates'!$B$6</f>
        <v>750 BU Sensorics &amp; Controls</v>
      </c>
      <c r="E209" s="439" t="str">
        <f>'Input-FX Rates'!$C$5</f>
        <v>7521 &amp; 7522</v>
      </c>
      <c r="F209" s="439" t="str">
        <f>'Input-FX Rates'!$B$5</f>
        <v>7521 &amp; 7522 PL Mechatronic Sensors (&amp; Electrification)</v>
      </c>
      <c r="G209" s="439" t="s">
        <v>1442</v>
      </c>
      <c r="H209" s="439" t="s">
        <v>1453</v>
      </c>
      <c r="I209" s="523"/>
      <c r="J209" s="523"/>
      <c r="K209" s="524">
        <f>'6. HC (GC)'!C16</f>
        <v>0</v>
      </c>
      <c r="L209" s="524">
        <f>'6. HC (GC)'!D16</f>
        <v>0</v>
      </c>
      <c r="M209" s="523"/>
      <c r="N209" s="523"/>
      <c r="O209" s="524">
        <f>'6. HC (GC)'!Q16</f>
        <v>0</v>
      </c>
      <c r="P209" s="523"/>
      <c r="Q209" s="523"/>
      <c r="R209" s="523"/>
      <c r="S209" s="523"/>
      <c r="T209" s="523"/>
      <c r="U209" s="523"/>
      <c r="V209" s="523"/>
      <c r="W209" s="524">
        <f>'6. HC (GC)'!F16</f>
        <v>0</v>
      </c>
      <c r="X209" s="524">
        <f>'6. HC (GC)'!G16</f>
        <v>0</v>
      </c>
      <c r="Y209" s="524">
        <f>'6. HC (GC)'!H16</f>
        <v>0</v>
      </c>
      <c r="Z209" s="524">
        <f>'6. HC (GC)'!I16</f>
        <v>0</v>
      </c>
      <c r="AA209" s="524">
        <f>'6. HC (GC)'!J16</f>
        <v>0</v>
      </c>
      <c r="AB209" s="524">
        <f>'6. HC (GC)'!K16</f>
        <v>0</v>
      </c>
      <c r="AC209" s="524">
        <f>'6. HC (GC)'!L16</f>
        <v>0</v>
      </c>
      <c r="AD209" s="524">
        <f>'6. HC (GC)'!M16</f>
        <v>0</v>
      </c>
      <c r="AE209" s="524">
        <f>'6. HC (GC)'!N16</f>
        <v>0</v>
      </c>
      <c r="AF209" s="524">
        <f>'6. HC (GC)'!O16</f>
        <v>0</v>
      </c>
      <c r="AG209" s="524">
        <f>'6. HC (GC)'!P16</f>
        <v>0</v>
      </c>
      <c r="AH209" s="524">
        <f>'6. HC (GC)'!Q16</f>
        <v>0</v>
      </c>
      <c r="AI209" s="523"/>
      <c r="AJ209" s="523"/>
      <c r="AK209" s="523"/>
      <c r="AL209" s="523"/>
      <c r="AM209" s="523"/>
      <c r="AN209" s="523"/>
      <c r="AO209" s="439" t="str">
        <f>'6. HC (GC)'!U16</f>
        <v/>
      </c>
      <c r="AP209" s="439">
        <v>179</v>
      </c>
      <c r="AQ209" s="439" t="str">
        <f>Settings!$A$1</f>
        <v>V2</v>
      </c>
    </row>
    <row r="210" spans="1:43" x14ac:dyDescent="0.2">
      <c r="A210" s="439">
        <f>'Input-FX Rates'!$C$4</f>
        <v>242</v>
      </c>
      <c r="B210" s="439" t="str">
        <f>'Input-FX Rates'!$B$4</f>
        <v>ICH Icheon (242)</v>
      </c>
      <c r="C210" s="439">
        <f>'Input-FX Rates'!$C$6</f>
        <v>750</v>
      </c>
      <c r="D210" s="439" t="str">
        <f>'Input-FX Rates'!$B$6</f>
        <v>750 BU Sensorics &amp; Controls</v>
      </c>
      <c r="E210" s="439" t="str">
        <f>'Input-FX Rates'!$C$5</f>
        <v>7521 &amp; 7522</v>
      </c>
      <c r="F210" s="439" t="str">
        <f>'Input-FX Rates'!$B$5</f>
        <v>7521 &amp; 7522 PL Mechatronic Sensors (&amp; Electrification)</v>
      </c>
      <c r="G210" s="439" t="s">
        <v>1442</v>
      </c>
      <c r="H210" s="439" t="s">
        <v>1454</v>
      </c>
      <c r="I210" s="523"/>
      <c r="J210" s="523"/>
      <c r="K210" s="524">
        <f>'6. HC (GC)'!C17</f>
        <v>0</v>
      </c>
      <c r="L210" s="524">
        <f>'6. HC (GC)'!D17</f>
        <v>0</v>
      </c>
      <c r="M210" s="523"/>
      <c r="N210" s="523"/>
      <c r="O210" s="524">
        <f>'6. HC (GC)'!Q17</f>
        <v>0</v>
      </c>
      <c r="P210" s="523"/>
      <c r="Q210" s="523"/>
      <c r="R210" s="523"/>
      <c r="S210" s="523"/>
      <c r="T210" s="523"/>
      <c r="U210" s="523"/>
      <c r="V210" s="523"/>
      <c r="W210" s="524">
        <f>'6. HC (GC)'!F17</f>
        <v>0</v>
      </c>
      <c r="X210" s="524">
        <f>'6. HC (GC)'!G17</f>
        <v>0</v>
      </c>
      <c r="Y210" s="524">
        <f>'6. HC (GC)'!H17</f>
        <v>0</v>
      </c>
      <c r="Z210" s="524">
        <f>'6. HC (GC)'!I17</f>
        <v>0</v>
      </c>
      <c r="AA210" s="524">
        <f>'6. HC (GC)'!J17</f>
        <v>0</v>
      </c>
      <c r="AB210" s="524">
        <f>'6. HC (GC)'!K17</f>
        <v>0</v>
      </c>
      <c r="AC210" s="524">
        <f>'6. HC (GC)'!L17</f>
        <v>0</v>
      </c>
      <c r="AD210" s="524">
        <f>'6. HC (GC)'!M17</f>
        <v>0</v>
      </c>
      <c r="AE210" s="524">
        <f>'6. HC (GC)'!N17</f>
        <v>0</v>
      </c>
      <c r="AF210" s="524">
        <f>'6. HC (GC)'!O17</f>
        <v>0</v>
      </c>
      <c r="AG210" s="524">
        <f>'6. HC (GC)'!P17</f>
        <v>0</v>
      </c>
      <c r="AH210" s="524">
        <f>'6. HC (GC)'!Q17</f>
        <v>0</v>
      </c>
      <c r="AI210" s="523"/>
      <c r="AJ210" s="523"/>
      <c r="AK210" s="523"/>
      <c r="AL210" s="523"/>
      <c r="AM210" s="523"/>
      <c r="AN210" s="523"/>
      <c r="AO210" s="439" t="str">
        <f>'6. HC (GC)'!U17</f>
        <v/>
      </c>
      <c r="AP210" s="439">
        <v>180</v>
      </c>
      <c r="AQ210" s="439" t="str">
        <f>Settings!$A$1</f>
        <v>V2</v>
      </c>
    </row>
    <row r="211" spans="1:43" x14ac:dyDescent="0.2">
      <c r="A211" s="439">
        <f>'Input-FX Rates'!$C$4</f>
        <v>242</v>
      </c>
      <c r="B211" s="439" t="str">
        <f>'Input-FX Rates'!$B$4</f>
        <v>ICH Icheon (242)</v>
      </c>
      <c r="C211" s="439">
        <f>'Input-FX Rates'!$C$6</f>
        <v>750</v>
      </c>
      <c r="D211" s="439" t="str">
        <f>'Input-FX Rates'!$B$6</f>
        <v>750 BU Sensorics &amp; Controls</v>
      </c>
      <c r="E211" s="439" t="str">
        <f>'Input-FX Rates'!$C$5</f>
        <v>7521 &amp; 7522</v>
      </c>
      <c r="F211" s="439" t="str">
        <f>'Input-FX Rates'!$B$5</f>
        <v>7521 &amp; 7522 PL Mechatronic Sensors (&amp; Electrification)</v>
      </c>
      <c r="G211" s="439" t="s">
        <v>1442</v>
      </c>
      <c r="H211" s="439" t="s">
        <v>1455</v>
      </c>
      <c r="I211" s="523"/>
      <c r="J211" s="523"/>
      <c r="K211" s="524">
        <f>'6. HC (GC)'!C18</f>
        <v>1</v>
      </c>
      <c r="L211" s="524">
        <f>'6. HC (GC)'!D18</f>
        <v>1</v>
      </c>
      <c r="M211" s="523"/>
      <c r="N211" s="523"/>
      <c r="O211" s="524">
        <f>'6. HC (GC)'!Q18</f>
        <v>1</v>
      </c>
      <c r="P211" s="523"/>
      <c r="Q211" s="523"/>
      <c r="R211" s="523"/>
      <c r="S211" s="523"/>
      <c r="T211" s="523"/>
      <c r="U211" s="523"/>
      <c r="V211" s="523"/>
      <c r="W211" s="524">
        <f>'6. HC (GC)'!F18</f>
        <v>1</v>
      </c>
      <c r="X211" s="524">
        <f>'6. HC (GC)'!G18</f>
        <v>1</v>
      </c>
      <c r="Y211" s="524">
        <f>'6. HC (GC)'!H18</f>
        <v>1</v>
      </c>
      <c r="Z211" s="524">
        <f>'6. HC (GC)'!I18</f>
        <v>1</v>
      </c>
      <c r="AA211" s="524">
        <f>'6. HC (GC)'!J18</f>
        <v>1</v>
      </c>
      <c r="AB211" s="524">
        <f>'6. HC (GC)'!K18</f>
        <v>1</v>
      </c>
      <c r="AC211" s="524">
        <f>'6. HC (GC)'!L18</f>
        <v>1</v>
      </c>
      <c r="AD211" s="524">
        <f>'6. HC (GC)'!M18</f>
        <v>1</v>
      </c>
      <c r="AE211" s="524">
        <f>'6. HC (GC)'!N18</f>
        <v>1</v>
      </c>
      <c r="AF211" s="524">
        <f>'6. HC (GC)'!O18</f>
        <v>1</v>
      </c>
      <c r="AG211" s="524">
        <f>'6. HC (GC)'!P18</f>
        <v>1</v>
      </c>
      <c r="AH211" s="524">
        <f>'6. HC (GC)'!Q18</f>
        <v>1</v>
      </c>
      <c r="AI211" s="523"/>
      <c r="AJ211" s="523"/>
      <c r="AK211" s="523"/>
      <c r="AL211" s="523"/>
      <c r="AM211" s="523"/>
      <c r="AN211" s="523"/>
      <c r="AO211" s="439" t="str">
        <f>'6. HC (GC)'!U18</f>
        <v/>
      </c>
      <c r="AP211" s="439">
        <v>181</v>
      </c>
      <c r="AQ211" s="439" t="str">
        <f>Settings!$A$1</f>
        <v>V2</v>
      </c>
    </row>
    <row r="212" spans="1:43" x14ac:dyDescent="0.2">
      <c r="A212" s="439">
        <f>'Input-FX Rates'!$C$4</f>
        <v>242</v>
      </c>
      <c r="B212" s="439" t="str">
        <f>'Input-FX Rates'!$B$4</f>
        <v>ICH Icheon (242)</v>
      </c>
      <c r="C212" s="439">
        <f>'Input-FX Rates'!$C$6</f>
        <v>750</v>
      </c>
      <c r="D212" s="439" t="str">
        <f>'Input-FX Rates'!$B$6</f>
        <v>750 BU Sensorics &amp; Controls</v>
      </c>
      <c r="E212" s="439" t="str">
        <f>'Input-FX Rates'!$C$5</f>
        <v>7521 &amp; 7522</v>
      </c>
      <c r="F212" s="439" t="str">
        <f>'Input-FX Rates'!$B$5</f>
        <v>7521 &amp; 7522 PL Mechatronic Sensors (&amp; Electrification)</v>
      </c>
      <c r="G212" s="439" t="s">
        <v>1442</v>
      </c>
      <c r="H212" s="439" t="s">
        <v>1456</v>
      </c>
      <c r="I212" s="523"/>
      <c r="J212" s="523"/>
      <c r="K212" s="524">
        <f>'6. HC (GC)'!C19</f>
        <v>24</v>
      </c>
      <c r="L212" s="524">
        <f>'6. HC (GC)'!D19</f>
        <v>24</v>
      </c>
      <c r="M212" s="523"/>
      <c r="N212" s="523"/>
      <c r="O212" s="524">
        <f>'6. HC (GC)'!Q19</f>
        <v>27</v>
      </c>
      <c r="P212" s="523"/>
      <c r="Q212" s="523"/>
      <c r="R212" s="523"/>
      <c r="S212" s="523"/>
      <c r="T212" s="523"/>
      <c r="U212" s="523"/>
      <c r="V212" s="523"/>
      <c r="W212" s="523"/>
      <c r="X212" s="523"/>
      <c r="Y212" s="523"/>
      <c r="Z212" s="523"/>
      <c r="AA212" s="523"/>
      <c r="AB212" s="523"/>
      <c r="AC212" s="523"/>
      <c r="AD212" s="523"/>
      <c r="AE212" s="523"/>
      <c r="AF212" s="523"/>
      <c r="AG212" s="523"/>
      <c r="AH212" s="523"/>
      <c r="AI212" s="523"/>
      <c r="AJ212" s="523"/>
      <c r="AK212" s="523"/>
      <c r="AL212" s="523"/>
      <c r="AM212" s="523"/>
      <c r="AN212" s="523"/>
      <c r="AO212" s="439" t="str">
        <f>'6. HC (GC)'!U19</f>
        <v/>
      </c>
      <c r="AP212" s="439">
        <v>182</v>
      </c>
      <c r="AQ212" s="439" t="str">
        <f>Settings!$A$1</f>
        <v>V2</v>
      </c>
    </row>
    <row r="213" spans="1:43" s="843" customFormat="1" x14ac:dyDescent="0.2">
      <c r="A213" s="843">
        <f>'Input-FX Rates'!$C$4</f>
        <v>242</v>
      </c>
      <c r="B213" s="843" t="str">
        <f>'Input-FX Rates'!$B$4</f>
        <v>ICH Icheon (242)</v>
      </c>
      <c r="C213" s="843">
        <f>'Input-FX Rates'!$C$6</f>
        <v>750</v>
      </c>
      <c r="D213" s="843" t="str">
        <f>'Input-FX Rates'!$B$6</f>
        <v>750 BU Sensorics &amp; Controls</v>
      </c>
      <c r="E213" s="843" t="str">
        <f>'Input-FX Rates'!$C$5</f>
        <v>7521 &amp; 7522</v>
      </c>
      <c r="F213" s="843" t="str">
        <f>'Input-FX Rates'!$B$5</f>
        <v>7521 &amp; 7522 PL Mechatronic Sensors (&amp; Electrification)</v>
      </c>
      <c r="G213" s="843" t="s">
        <v>1442</v>
      </c>
      <c r="H213" s="843" t="s">
        <v>1457</v>
      </c>
      <c r="I213" s="844"/>
      <c r="J213" s="844"/>
      <c r="K213" s="845">
        <f>'6. HC (GC)'!C21</f>
        <v>0</v>
      </c>
      <c r="L213" s="845">
        <f>'6. HC (GC)'!D21</f>
        <v>0</v>
      </c>
      <c r="M213" s="844"/>
      <c r="N213" s="844"/>
      <c r="O213" s="845">
        <f>'6. HC (GC)'!Q21</f>
        <v>0</v>
      </c>
      <c r="P213" s="844"/>
      <c r="Q213" s="844"/>
      <c r="R213" s="844"/>
      <c r="S213" s="844"/>
      <c r="T213" s="844"/>
      <c r="U213" s="844"/>
      <c r="V213" s="844"/>
      <c r="W213" s="845">
        <f>'6. HC (GC)'!F21</f>
        <v>0</v>
      </c>
      <c r="X213" s="845">
        <f>'6. HC (GC)'!G21</f>
        <v>0</v>
      </c>
      <c r="Y213" s="845">
        <f>'6. HC (GC)'!H21</f>
        <v>0</v>
      </c>
      <c r="Z213" s="845">
        <f>'6. HC (GC)'!I21</f>
        <v>0</v>
      </c>
      <c r="AA213" s="845">
        <f>'6. HC (GC)'!J21</f>
        <v>0</v>
      </c>
      <c r="AB213" s="845">
        <f>'6. HC (GC)'!K21</f>
        <v>0</v>
      </c>
      <c r="AC213" s="845">
        <f>'6. HC (GC)'!L21</f>
        <v>0</v>
      </c>
      <c r="AD213" s="845">
        <f>'6. HC (GC)'!M21</f>
        <v>0</v>
      </c>
      <c r="AE213" s="845">
        <f>'6. HC (GC)'!N21</f>
        <v>0</v>
      </c>
      <c r="AF213" s="845">
        <f>'6. HC (GC)'!O21</f>
        <v>0</v>
      </c>
      <c r="AG213" s="845">
        <f>'6. HC (GC)'!P21</f>
        <v>0</v>
      </c>
      <c r="AH213" s="845">
        <f>'6. HC (GC)'!Q21</f>
        <v>0</v>
      </c>
      <c r="AI213" s="844"/>
      <c r="AJ213" s="844"/>
      <c r="AK213" s="844"/>
      <c r="AL213" s="844"/>
      <c r="AM213" s="844"/>
      <c r="AN213" s="844"/>
      <c r="AO213" s="843" t="str">
        <f>'6. HC (GC)'!U21</f>
        <v/>
      </c>
      <c r="AP213" s="843">
        <v>183</v>
      </c>
      <c r="AQ213" s="843" t="str">
        <f>Settings!$A$1</f>
        <v>V2</v>
      </c>
    </row>
    <row r="214" spans="1:43" s="843" customFormat="1" x14ac:dyDescent="0.2">
      <c r="A214" s="843">
        <f>'Input-FX Rates'!$C$4</f>
        <v>242</v>
      </c>
      <c r="B214" s="843" t="str">
        <f>'Input-FX Rates'!$B$4</f>
        <v>ICH Icheon (242)</v>
      </c>
      <c r="C214" s="843">
        <f>'Input-FX Rates'!$C$6</f>
        <v>750</v>
      </c>
      <c r="D214" s="843" t="str">
        <f>'Input-FX Rates'!$B$6</f>
        <v>750 BU Sensorics &amp; Controls</v>
      </c>
      <c r="E214" s="843" t="str">
        <f>'Input-FX Rates'!$C$5</f>
        <v>7521 &amp; 7522</v>
      </c>
      <c r="F214" s="843" t="str">
        <f>'Input-FX Rates'!$B$5</f>
        <v>7521 &amp; 7522 PL Mechatronic Sensors (&amp; Electrification)</v>
      </c>
      <c r="G214" s="843" t="s">
        <v>1442</v>
      </c>
      <c r="H214" s="843" t="s">
        <v>1458</v>
      </c>
      <c r="I214" s="844"/>
      <c r="J214" s="844"/>
      <c r="K214" s="845">
        <f>'6. HC (GC)'!C22</f>
        <v>3</v>
      </c>
      <c r="L214" s="845">
        <f>'6. HC (GC)'!D22</f>
        <v>4</v>
      </c>
      <c r="M214" s="844"/>
      <c r="N214" s="844"/>
      <c r="O214" s="845">
        <f>'6. HC (GC)'!Q22</f>
        <v>4</v>
      </c>
      <c r="P214" s="844"/>
      <c r="Q214" s="844"/>
      <c r="R214" s="844"/>
      <c r="S214" s="844"/>
      <c r="T214" s="844"/>
      <c r="U214" s="844"/>
      <c r="V214" s="844"/>
      <c r="W214" s="845">
        <f>'6. HC (GC)'!F22</f>
        <v>0</v>
      </c>
      <c r="X214" s="845">
        <f>'6. HC (GC)'!G22</f>
        <v>0</v>
      </c>
      <c r="Y214" s="845">
        <f>'6. HC (GC)'!H22</f>
        <v>0</v>
      </c>
      <c r="Z214" s="845">
        <f>'6. HC (GC)'!I22</f>
        <v>0</v>
      </c>
      <c r="AA214" s="845">
        <f>'6. HC (GC)'!J22</f>
        <v>0</v>
      </c>
      <c r="AB214" s="845">
        <f>'6. HC (GC)'!K22</f>
        <v>0</v>
      </c>
      <c r="AC214" s="845">
        <f>'6. HC (GC)'!L22</f>
        <v>0</v>
      </c>
      <c r="AD214" s="845">
        <f>'6. HC (GC)'!M22</f>
        <v>0</v>
      </c>
      <c r="AE214" s="845">
        <f>'6. HC (GC)'!N22</f>
        <v>0</v>
      </c>
      <c r="AF214" s="845">
        <f>'6. HC (GC)'!O22</f>
        <v>0</v>
      </c>
      <c r="AG214" s="845">
        <f>'6. HC (GC)'!P22</f>
        <v>0</v>
      </c>
      <c r="AH214" s="845">
        <f>'6. HC (GC)'!Q22</f>
        <v>4</v>
      </c>
      <c r="AI214" s="844"/>
      <c r="AJ214" s="844"/>
      <c r="AK214" s="844"/>
      <c r="AL214" s="844"/>
      <c r="AM214" s="844"/>
      <c r="AN214" s="844"/>
      <c r="AO214" s="843" t="str">
        <f>'6. HC (GC)'!U22</f>
        <v/>
      </c>
      <c r="AP214" s="843">
        <v>1183</v>
      </c>
      <c r="AQ214" s="843" t="str">
        <f>Settings!$A$1</f>
        <v>V2</v>
      </c>
    </row>
    <row r="215" spans="1:43" x14ac:dyDescent="0.2">
      <c r="A215" s="439">
        <f>'Input-FX Rates'!$C$4</f>
        <v>242</v>
      </c>
      <c r="B215" s="439" t="str">
        <f>'Input-FX Rates'!$B$4</f>
        <v>ICH Icheon (242)</v>
      </c>
      <c r="C215" s="439">
        <f>'Input-FX Rates'!$C$6</f>
        <v>750</v>
      </c>
      <c r="D215" s="439" t="str">
        <f>'Input-FX Rates'!$B$6</f>
        <v>750 BU Sensorics &amp; Controls</v>
      </c>
      <c r="E215" s="439" t="str">
        <f>'Input-FX Rates'!$C$5</f>
        <v>7521 &amp; 7522</v>
      </c>
      <c r="F215" s="439" t="str">
        <f>'Input-FX Rates'!$B$5</f>
        <v>7521 &amp; 7522 PL Mechatronic Sensors (&amp; Electrification)</v>
      </c>
      <c r="G215" s="439" t="s">
        <v>1442</v>
      </c>
      <c r="H215" s="439" t="s">
        <v>1459</v>
      </c>
      <c r="I215" s="523"/>
      <c r="J215" s="523"/>
      <c r="K215" s="524">
        <f>'6. HC (GC)'!C24</f>
        <v>23</v>
      </c>
      <c r="L215" s="524">
        <f>'6. HC (GC)'!D24</f>
        <v>23</v>
      </c>
      <c r="M215" s="523"/>
      <c r="N215" s="523"/>
      <c r="O215" s="524">
        <f>'6. HC (GC)'!Q24</f>
        <v>26</v>
      </c>
      <c r="P215" s="523"/>
      <c r="Q215" s="523"/>
      <c r="R215" s="523"/>
      <c r="S215" s="523"/>
      <c r="T215" s="523"/>
      <c r="U215" s="523"/>
      <c r="V215" s="523"/>
      <c r="W215" s="523"/>
      <c r="X215" s="523"/>
      <c r="Y215" s="523"/>
      <c r="Z215" s="523"/>
      <c r="AA215" s="523"/>
      <c r="AB215" s="523"/>
      <c r="AC215" s="52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439" t="str">
        <f>'6. HC (GC)'!U24</f>
        <v/>
      </c>
      <c r="AP215" s="439">
        <v>184</v>
      </c>
      <c r="AQ215" s="439" t="str">
        <f>Settings!$A$1</f>
        <v>V2</v>
      </c>
    </row>
    <row r="216" spans="1:43" x14ac:dyDescent="0.2">
      <c r="A216" s="439">
        <f>'Input-FX Rates'!$C$4</f>
        <v>242</v>
      </c>
      <c r="B216" s="439" t="str">
        <f>'Input-FX Rates'!$B$4</f>
        <v>ICH Icheon (242)</v>
      </c>
      <c r="C216" s="439">
        <f>'Input-FX Rates'!$C$6</f>
        <v>750</v>
      </c>
      <c r="D216" s="439" t="str">
        <f>'Input-FX Rates'!$B$6</f>
        <v>750 BU Sensorics &amp; Controls</v>
      </c>
      <c r="E216" s="439" t="str">
        <f>'Input-FX Rates'!$C$5</f>
        <v>7521 &amp; 7522</v>
      </c>
      <c r="F216" s="439" t="str">
        <f>'Input-FX Rates'!$B$5</f>
        <v>7521 &amp; 7522 PL Mechatronic Sensors (&amp; Electrification)</v>
      </c>
      <c r="G216" s="439" t="s">
        <v>1442</v>
      </c>
      <c r="H216" s="439" t="s">
        <v>1460</v>
      </c>
      <c r="I216" s="523"/>
      <c r="J216" s="523"/>
      <c r="K216" s="524">
        <f>'6. HC (GC)'!C25</f>
        <v>4</v>
      </c>
      <c r="L216" s="524">
        <f>'6. HC (GC)'!D25</f>
        <v>5</v>
      </c>
      <c r="M216" s="523"/>
      <c r="N216" s="523"/>
      <c r="O216" s="524">
        <f>'6. HC (GC)'!Q25</f>
        <v>5</v>
      </c>
      <c r="P216" s="523"/>
      <c r="Q216" s="523"/>
      <c r="R216" s="523"/>
      <c r="S216" s="523"/>
      <c r="T216" s="523"/>
      <c r="U216" s="523"/>
      <c r="V216" s="523"/>
      <c r="W216" s="523"/>
      <c r="X216" s="523"/>
      <c r="Y216" s="523"/>
      <c r="Z216" s="523"/>
      <c r="AA216" s="523"/>
      <c r="AB216" s="523"/>
      <c r="AC216" s="523"/>
      <c r="AD216" s="523"/>
      <c r="AE216" s="523"/>
      <c r="AF216" s="523"/>
      <c r="AG216" s="523"/>
      <c r="AH216" s="523"/>
      <c r="AI216" s="523"/>
      <c r="AJ216" s="523"/>
      <c r="AK216" s="523"/>
      <c r="AL216" s="523"/>
      <c r="AM216" s="523"/>
      <c r="AN216" s="523"/>
      <c r="AO216" s="439" t="str">
        <f>'6. HC (GC)'!U25</f>
        <v/>
      </c>
      <c r="AP216" s="439">
        <v>185</v>
      </c>
      <c r="AQ216" s="439" t="str">
        <f>Settings!$A$1</f>
        <v>V2</v>
      </c>
    </row>
    <row r="217" spans="1:43" x14ac:dyDescent="0.2">
      <c r="A217" s="439">
        <f>'Input-FX Rates'!$C$4</f>
        <v>242</v>
      </c>
      <c r="B217" s="439" t="str">
        <f>'Input-FX Rates'!$B$4</f>
        <v>ICH Icheon (242)</v>
      </c>
      <c r="C217" s="439">
        <f>'Input-FX Rates'!$C$6</f>
        <v>750</v>
      </c>
      <c r="D217" s="439" t="str">
        <f>'Input-FX Rates'!$B$6</f>
        <v>750 BU Sensorics &amp; Controls</v>
      </c>
      <c r="E217" s="439" t="str">
        <f>'Input-FX Rates'!$C$5</f>
        <v>7521 &amp; 7522</v>
      </c>
      <c r="F217" s="439" t="str">
        <f>'Input-FX Rates'!$B$5</f>
        <v>7521 &amp; 7522 PL Mechatronic Sensors (&amp; Electrification)</v>
      </c>
      <c r="G217" s="439" t="s">
        <v>1442</v>
      </c>
      <c r="H217" s="439" t="s">
        <v>1461</v>
      </c>
      <c r="I217" s="523"/>
      <c r="J217" s="523"/>
      <c r="K217" s="523"/>
      <c r="L217" s="524">
        <f>'6. HC (GC)'!E6</f>
        <v>15111.540802308424</v>
      </c>
      <c r="M217" s="523"/>
      <c r="N217" s="523"/>
      <c r="O217" s="524">
        <f>'6. HC (GC)'!R6</f>
        <v>14187.261937931033</v>
      </c>
      <c r="P217" s="523"/>
      <c r="Q217" s="523"/>
      <c r="R217" s="523"/>
      <c r="S217" s="523"/>
      <c r="T217" s="523"/>
      <c r="U217" s="523"/>
      <c r="V217" s="523"/>
      <c r="W217" s="523"/>
      <c r="X217" s="523"/>
      <c r="Y217" s="523"/>
      <c r="Z217" s="523"/>
      <c r="AA217" s="523"/>
      <c r="AB217" s="523"/>
      <c r="AC217" s="523"/>
      <c r="AD217" s="523"/>
      <c r="AE217" s="523"/>
      <c r="AF217" s="523"/>
      <c r="AG217" s="523"/>
      <c r="AH217" s="523"/>
      <c r="AI217" s="523"/>
      <c r="AJ217" s="523"/>
      <c r="AK217" s="523"/>
      <c r="AL217" s="523"/>
      <c r="AM217" s="523"/>
      <c r="AN217" s="523"/>
      <c r="AO217" s="439" t="str">
        <f>'6. HC (GC)'!U6</f>
        <v/>
      </c>
      <c r="AP217" s="439">
        <v>186</v>
      </c>
      <c r="AQ217" s="439" t="str">
        <f>Settings!$A$1</f>
        <v>V2</v>
      </c>
    </row>
    <row r="218" spans="1:43" x14ac:dyDescent="0.2">
      <c r="A218" s="439">
        <f>'Input-FX Rates'!$C$4</f>
        <v>242</v>
      </c>
      <c r="B218" s="439" t="str">
        <f>'Input-FX Rates'!$B$4</f>
        <v>ICH Icheon (242)</v>
      </c>
      <c r="C218" s="439">
        <f>'Input-FX Rates'!$C$6</f>
        <v>750</v>
      </c>
      <c r="D218" s="439" t="str">
        <f>'Input-FX Rates'!$B$6</f>
        <v>750 BU Sensorics &amp; Controls</v>
      </c>
      <c r="E218" s="439" t="str">
        <f>'Input-FX Rates'!$C$5</f>
        <v>7521 &amp; 7522</v>
      </c>
      <c r="F218" s="439" t="str">
        <f>'Input-FX Rates'!$B$5</f>
        <v>7521 &amp; 7522 PL Mechatronic Sensors (&amp; Electrification)</v>
      </c>
      <c r="G218" s="439" t="s">
        <v>1442</v>
      </c>
      <c r="H218" s="439" t="s">
        <v>1462</v>
      </c>
      <c r="I218" s="523"/>
      <c r="J218" s="523"/>
      <c r="K218" s="523"/>
      <c r="L218" s="524">
        <f>'6. HC (GC)'!E7</f>
        <v>20.2</v>
      </c>
      <c r="M218" s="523"/>
      <c r="N218" s="523"/>
      <c r="O218" s="524">
        <f>'6. HC (GC)'!R7</f>
        <v>22</v>
      </c>
      <c r="P218" s="523"/>
      <c r="Q218" s="523"/>
      <c r="R218" s="523"/>
      <c r="S218" s="523"/>
      <c r="T218" s="523"/>
      <c r="U218" s="523"/>
      <c r="V218" s="523"/>
      <c r="W218" s="523"/>
      <c r="X218" s="523"/>
      <c r="Y218" s="523"/>
      <c r="Z218" s="523"/>
      <c r="AA218" s="523"/>
      <c r="AB218" s="523"/>
      <c r="AC218" s="523"/>
      <c r="AD218" s="523"/>
      <c r="AE218" s="523"/>
      <c r="AF218" s="523"/>
      <c r="AG218" s="523"/>
      <c r="AH218" s="523"/>
      <c r="AI218" s="523"/>
      <c r="AJ218" s="523"/>
      <c r="AK218" s="523"/>
      <c r="AL218" s="523"/>
      <c r="AM218" s="523"/>
      <c r="AN218" s="523"/>
      <c r="AO218" s="439" t="str">
        <f>'6. HC (GC)'!U7</f>
        <v>1 operator(quality inspector) is necessary due to the quality issues</v>
      </c>
      <c r="AP218" s="439">
        <v>188</v>
      </c>
      <c r="AQ218" s="439" t="str">
        <f>Settings!$A$1</f>
        <v>V2</v>
      </c>
    </row>
    <row r="219" spans="1:43" x14ac:dyDescent="0.2">
      <c r="A219" s="439">
        <f>'Input-FX Rates'!$C$4</f>
        <v>242</v>
      </c>
      <c r="B219" s="439" t="str">
        <f>'Input-FX Rates'!$B$4</f>
        <v>ICH Icheon (242)</v>
      </c>
      <c r="C219" s="439">
        <f>'Input-FX Rates'!$C$6</f>
        <v>750</v>
      </c>
      <c r="D219" s="439" t="str">
        <f>'Input-FX Rates'!$B$6</f>
        <v>750 BU Sensorics &amp; Controls</v>
      </c>
      <c r="E219" s="439" t="str">
        <f>'Input-FX Rates'!$C$5</f>
        <v>7521 &amp; 7522</v>
      </c>
      <c r="F219" s="439" t="str">
        <f>'Input-FX Rates'!$B$5</f>
        <v>7521 &amp; 7522 PL Mechatronic Sensors (&amp; Electrification)</v>
      </c>
      <c r="G219" s="439" t="s">
        <v>1442</v>
      </c>
      <c r="H219" s="439" t="s">
        <v>1463</v>
      </c>
      <c r="I219" s="523"/>
      <c r="J219" s="523"/>
      <c r="K219" s="523"/>
      <c r="L219" s="524">
        <f>'6. HC (GC)'!E8</f>
        <v>0</v>
      </c>
      <c r="M219" s="523"/>
      <c r="N219" s="523"/>
      <c r="O219" s="524">
        <f>'6. HC (GC)'!R8</f>
        <v>2</v>
      </c>
      <c r="P219" s="523"/>
      <c r="Q219" s="523"/>
      <c r="R219" s="523"/>
      <c r="S219" s="523"/>
      <c r="T219" s="523"/>
      <c r="U219" s="523"/>
      <c r="V219" s="523"/>
      <c r="W219" s="523"/>
      <c r="X219" s="523"/>
      <c r="Y219" s="523"/>
      <c r="Z219" s="523"/>
      <c r="AA219" s="523"/>
      <c r="AB219" s="523"/>
      <c r="AC219" s="523"/>
      <c r="AD219" s="523"/>
      <c r="AE219" s="523"/>
      <c r="AF219" s="523"/>
      <c r="AG219" s="523"/>
      <c r="AH219" s="523"/>
      <c r="AI219" s="523"/>
      <c r="AJ219" s="523"/>
      <c r="AK219" s="523"/>
      <c r="AL219" s="523"/>
      <c r="AM219" s="523"/>
      <c r="AN219" s="523"/>
      <c r="AO219" s="439" t="str">
        <f>'6. HC (GC)'!U8</f>
        <v>MES does not have assigned technicians. 2 Technicians who are dedicated to MES are necessary(OEE target is not met &amp; production is below capacity during 2023 due to the lack of technicians)</v>
      </c>
      <c r="AP219" s="439">
        <v>189</v>
      </c>
      <c r="AQ219" s="439" t="str">
        <f>Settings!$A$1</f>
        <v>V2</v>
      </c>
    </row>
    <row r="220" spans="1:43" x14ac:dyDescent="0.2">
      <c r="A220" s="439">
        <f>'Input-FX Rates'!$C$4</f>
        <v>242</v>
      </c>
      <c r="B220" s="439" t="str">
        <f>'Input-FX Rates'!$B$4</f>
        <v>ICH Icheon (242)</v>
      </c>
      <c r="C220" s="439">
        <f>'Input-FX Rates'!$C$6</f>
        <v>750</v>
      </c>
      <c r="D220" s="439" t="str">
        <f>'Input-FX Rates'!$B$6</f>
        <v>750 BU Sensorics &amp; Controls</v>
      </c>
      <c r="E220" s="439" t="str">
        <f>'Input-FX Rates'!$C$5</f>
        <v>7521 &amp; 7522</v>
      </c>
      <c r="F220" s="439" t="str">
        <f>'Input-FX Rates'!$B$5</f>
        <v>7521 &amp; 7522 PL Mechatronic Sensors (&amp; Electrification)</v>
      </c>
      <c r="G220" s="439" t="s">
        <v>1442</v>
      </c>
      <c r="H220" s="439" t="s">
        <v>1464</v>
      </c>
      <c r="I220" s="523"/>
      <c r="J220" s="523"/>
      <c r="K220" s="523"/>
      <c r="L220" s="524">
        <f>'6. HC (GC)'!E9</f>
        <v>1</v>
      </c>
      <c r="M220" s="523"/>
      <c r="N220" s="523"/>
      <c r="O220" s="524">
        <f>'6. HC (GC)'!R9</f>
        <v>1</v>
      </c>
      <c r="P220" s="523"/>
      <c r="Q220" s="523"/>
      <c r="R220" s="523"/>
      <c r="S220" s="523"/>
      <c r="T220" s="523"/>
      <c r="U220" s="523"/>
      <c r="V220" s="523"/>
      <c r="W220" s="523"/>
      <c r="X220" s="523"/>
      <c r="Y220" s="523"/>
      <c r="Z220" s="523"/>
      <c r="AA220" s="523"/>
      <c r="AB220" s="523"/>
      <c r="AC220" s="523"/>
      <c r="AD220" s="523"/>
      <c r="AE220" s="523"/>
      <c r="AF220" s="523"/>
      <c r="AG220" s="523"/>
      <c r="AH220" s="523"/>
      <c r="AI220" s="523"/>
      <c r="AJ220" s="523"/>
      <c r="AK220" s="523"/>
      <c r="AL220" s="523"/>
      <c r="AM220" s="523"/>
      <c r="AN220" s="523"/>
      <c r="AO220" s="439" t="str">
        <f>'6. HC (GC)'!U9</f>
        <v/>
      </c>
      <c r="AP220" s="439">
        <v>190</v>
      </c>
      <c r="AQ220" s="439" t="str">
        <f>Settings!$A$1</f>
        <v>V2</v>
      </c>
    </row>
    <row r="221" spans="1:43" x14ac:dyDescent="0.2">
      <c r="A221" s="439">
        <f>'Input-FX Rates'!$C$4</f>
        <v>242</v>
      </c>
      <c r="B221" s="439" t="str">
        <f>'Input-FX Rates'!$B$4</f>
        <v>ICH Icheon (242)</v>
      </c>
      <c r="C221" s="439">
        <f>'Input-FX Rates'!$C$6</f>
        <v>750</v>
      </c>
      <c r="D221" s="439" t="str">
        <f>'Input-FX Rates'!$B$6</f>
        <v>750 BU Sensorics &amp; Controls</v>
      </c>
      <c r="E221" s="439" t="str">
        <f>'Input-FX Rates'!$C$5</f>
        <v>7521 &amp; 7522</v>
      </c>
      <c r="F221" s="439" t="str">
        <f>'Input-FX Rates'!$B$5</f>
        <v>7521 &amp; 7522 PL Mechatronic Sensors (&amp; Electrification)</v>
      </c>
      <c r="G221" s="439" t="s">
        <v>1442</v>
      </c>
      <c r="H221" s="439" t="s">
        <v>1465</v>
      </c>
      <c r="I221" s="523"/>
      <c r="J221" s="523"/>
      <c r="K221" s="523"/>
      <c r="L221" s="524">
        <f>'6. HC (GC)'!E10</f>
        <v>1</v>
      </c>
      <c r="M221" s="523"/>
      <c r="N221" s="523"/>
      <c r="O221" s="524">
        <f>'6. HC (GC)'!R10</f>
        <v>1</v>
      </c>
      <c r="P221" s="523"/>
      <c r="Q221" s="523"/>
      <c r="R221" s="523"/>
      <c r="S221" s="523"/>
      <c r="T221" s="523"/>
      <c r="U221" s="523"/>
      <c r="V221" s="523"/>
      <c r="W221" s="523"/>
      <c r="X221" s="523"/>
      <c r="Y221" s="523"/>
      <c r="Z221" s="523"/>
      <c r="AA221" s="523"/>
      <c r="AB221" s="523"/>
      <c r="AC221" s="523"/>
      <c r="AD221" s="523"/>
      <c r="AE221" s="523"/>
      <c r="AF221" s="523"/>
      <c r="AG221" s="523"/>
      <c r="AH221" s="523"/>
      <c r="AI221" s="523"/>
      <c r="AJ221" s="523"/>
      <c r="AK221" s="523"/>
      <c r="AL221" s="523"/>
      <c r="AM221" s="523"/>
      <c r="AN221" s="523"/>
      <c r="AO221" s="439" t="str">
        <f>'6. HC (GC)'!U10</f>
        <v/>
      </c>
      <c r="AP221" s="439">
        <v>191</v>
      </c>
      <c r="AQ221" s="439" t="str">
        <f>Settings!$A$1</f>
        <v>V2</v>
      </c>
    </row>
    <row r="222" spans="1:43" x14ac:dyDescent="0.2">
      <c r="A222" s="439">
        <f>'Input-FX Rates'!$C$4</f>
        <v>242</v>
      </c>
      <c r="B222" s="439" t="str">
        <f>'Input-FX Rates'!$B$4</f>
        <v>ICH Icheon (242)</v>
      </c>
      <c r="C222" s="439">
        <f>'Input-FX Rates'!$C$6</f>
        <v>750</v>
      </c>
      <c r="D222" s="439" t="str">
        <f>'Input-FX Rates'!$B$6</f>
        <v>750 BU Sensorics &amp; Controls</v>
      </c>
      <c r="E222" s="439" t="str">
        <f>'Input-FX Rates'!$C$5</f>
        <v>7521 &amp; 7522</v>
      </c>
      <c r="F222" s="439" t="str">
        <f>'Input-FX Rates'!$B$5</f>
        <v>7521 &amp; 7522 PL Mechatronic Sensors (&amp; Electrification)</v>
      </c>
      <c r="G222" s="439" t="s">
        <v>1442</v>
      </c>
      <c r="H222" s="439" t="s">
        <v>1466</v>
      </c>
      <c r="I222" s="523"/>
      <c r="J222" s="523"/>
      <c r="K222" s="523"/>
      <c r="L222" s="524">
        <f>'6. HC (GC)'!E11</f>
        <v>22.2</v>
      </c>
      <c r="M222" s="523"/>
      <c r="N222" s="523"/>
      <c r="O222" s="524">
        <f>'6. HC (GC)'!R11</f>
        <v>26</v>
      </c>
      <c r="P222" s="523"/>
      <c r="Q222" s="523"/>
      <c r="R222" s="523"/>
      <c r="S222" s="523"/>
      <c r="T222" s="523"/>
      <c r="U222" s="523"/>
      <c r="V222" s="523"/>
      <c r="W222" s="523"/>
      <c r="X222" s="523"/>
      <c r="Y222" s="523"/>
      <c r="Z222" s="523"/>
      <c r="AA222" s="523"/>
      <c r="AB222" s="523"/>
      <c r="AC222" s="523"/>
      <c r="AD222" s="523"/>
      <c r="AE222" s="523"/>
      <c r="AF222" s="523"/>
      <c r="AG222" s="523"/>
      <c r="AH222" s="523"/>
      <c r="AI222" s="523"/>
      <c r="AJ222" s="523"/>
      <c r="AK222" s="523"/>
      <c r="AL222" s="523"/>
      <c r="AM222" s="523"/>
      <c r="AN222" s="523"/>
      <c r="AO222" s="439" t="str">
        <f>'6. HC (GC)'!U11</f>
        <v/>
      </c>
      <c r="AP222" s="439">
        <v>192</v>
      </c>
      <c r="AQ222" s="439" t="str">
        <f>Settings!$A$1</f>
        <v>V2</v>
      </c>
    </row>
    <row r="223" spans="1:43" x14ac:dyDescent="0.2">
      <c r="A223" s="439">
        <f>'Input-FX Rates'!$C$4</f>
        <v>242</v>
      </c>
      <c r="B223" s="439" t="str">
        <f>'Input-FX Rates'!$B$4</f>
        <v>ICH Icheon (242)</v>
      </c>
      <c r="C223" s="439">
        <f>'Input-FX Rates'!$C$6</f>
        <v>750</v>
      </c>
      <c r="D223" s="439" t="str">
        <f>'Input-FX Rates'!$B$6</f>
        <v>750 BU Sensorics &amp; Controls</v>
      </c>
      <c r="E223" s="439" t="str">
        <f>'Input-FX Rates'!$C$5</f>
        <v>7521 &amp; 7522</v>
      </c>
      <c r="F223" s="439" t="str">
        <f>'Input-FX Rates'!$B$5</f>
        <v>7521 &amp; 7522 PL Mechatronic Sensors (&amp; Electrification)</v>
      </c>
      <c r="G223" s="439" t="s">
        <v>1442</v>
      </c>
      <c r="H223" s="439" t="s">
        <v>1467</v>
      </c>
      <c r="I223" s="523"/>
      <c r="J223" s="523"/>
      <c r="K223" s="523"/>
      <c r="L223" s="524">
        <f>'6. HC (GC)'!E12</f>
        <v>1</v>
      </c>
      <c r="M223" s="523"/>
      <c r="N223" s="523"/>
      <c r="O223" s="524">
        <f>'6. HC (GC)'!R12</f>
        <v>1</v>
      </c>
      <c r="P223" s="523"/>
      <c r="Q223" s="523"/>
      <c r="R223" s="523"/>
      <c r="S223" s="523"/>
      <c r="T223" s="523"/>
      <c r="U223" s="523"/>
      <c r="V223" s="523"/>
      <c r="W223" s="523"/>
      <c r="X223" s="523"/>
      <c r="Y223" s="523"/>
      <c r="Z223" s="523"/>
      <c r="AA223" s="523"/>
      <c r="AB223" s="523"/>
      <c r="AC223" s="523"/>
      <c r="AD223" s="523"/>
      <c r="AE223" s="523"/>
      <c r="AF223" s="523"/>
      <c r="AG223" s="523"/>
      <c r="AH223" s="523"/>
      <c r="AI223" s="523"/>
      <c r="AJ223" s="523"/>
      <c r="AK223" s="523"/>
      <c r="AL223" s="523"/>
      <c r="AM223" s="523"/>
      <c r="AN223" s="523"/>
      <c r="AO223" s="439" t="str">
        <f>'6. HC (GC)'!U12</f>
        <v/>
      </c>
      <c r="AP223" s="439">
        <v>193</v>
      </c>
      <c r="AQ223" s="439" t="str">
        <f>Settings!$A$1</f>
        <v>V2</v>
      </c>
    </row>
    <row r="224" spans="1:43" x14ac:dyDescent="0.2">
      <c r="A224" s="439">
        <f>'Input-FX Rates'!$C$4</f>
        <v>242</v>
      </c>
      <c r="B224" s="439" t="str">
        <f>'Input-FX Rates'!$B$4</f>
        <v>ICH Icheon (242)</v>
      </c>
      <c r="C224" s="439">
        <f>'Input-FX Rates'!$C$6</f>
        <v>750</v>
      </c>
      <c r="D224" s="439" t="str">
        <f>'Input-FX Rates'!$B$6</f>
        <v>750 BU Sensorics &amp; Controls</v>
      </c>
      <c r="E224" s="439" t="str">
        <f>'Input-FX Rates'!$C$5</f>
        <v>7521 &amp; 7522</v>
      </c>
      <c r="F224" s="439" t="str">
        <f>'Input-FX Rates'!$B$5</f>
        <v>7521 &amp; 7522 PL Mechatronic Sensors (&amp; Electrification)</v>
      </c>
      <c r="G224" s="439" t="s">
        <v>1442</v>
      </c>
      <c r="H224" s="439" t="s">
        <v>1468</v>
      </c>
      <c r="I224" s="523"/>
      <c r="J224" s="523"/>
      <c r="K224" s="523"/>
      <c r="L224" s="524">
        <f>'6. HC (GC)'!E13</f>
        <v>0</v>
      </c>
      <c r="M224" s="523"/>
      <c r="N224" s="523"/>
      <c r="O224" s="524">
        <f>'6. HC (GC)'!R13</f>
        <v>0</v>
      </c>
      <c r="P224" s="523"/>
      <c r="Q224" s="523"/>
      <c r="R224" s="523"/>
      <c r="S224" s="523"/>
      <c r="T224" s="523"/>
      <c r="U224" s="523"/>
      <c r="V224" s="523"/>
      <c r="W224" s="523"/>
      <c r="X224" s="523"/>
      <c r="Y224" s="523"/>
      <c r="Z224" s="523"/>
      <c r="AA224" s="523"/>
      <c r="AB224" s="523"/>
      <c r="AC224" s="523"/>
      <c r="AD224" s="523"/>
      <c r="AE224" s="523"/>
      <c r="AF224" s="523"/>
      <c r="AG224" s="523"/>
      <c r="AH224" s="523"/>
      <c r="AI224" s="523"/>
      <c r="AJ224" s="523"/>
      <c r="AK224" s="523"/>
      <c r="AL224" s="523"/>
      <c r="AM224" s="523"/>
      <c r="AN224" s="523"/>
      <c r="AO224" s="439" t="str">
        <f>'6. HC (GC)'!U13</f>
        <v/>
      </c>
      <c r="AP224" s="439">
        <v>194</v>
      </c>
      <c r="AQ224" s="439" t="str">
        <f>Settings!$A$1</f>
        <v>V2</v>
      </c>
    </row>
    <row r="225" spans="1:43" x14ac:dyDescent="0.2">
      <c r="A225" s="439">
        <f>'Input-FX Rates'!$C$4</f>
        <v>242</v>
      </c>
      <c r="B225" s="439" t="str">
        <f>'Input-FX Rates'!$B$4</f>
        <v>ICH Icheon (242)</v>
      </c>
      <c r="C225" s="439">
        <f>'Input-FX Rates'!$C$6</f>
        <v>750</v>
      </c>
      <c r="D225" s="439" t="str">
        <f>'Input-FX Rates'!$B$6</f>
        <v>750 BU Sensorics &amp; Controls</v>
      </c>
      <c r="E225" s="439" t="str">
        <f>'Input-FX Rates'!$C$5</f>
        <v>7521 &amp; 7522</v>
      </c>
      <c r="F225" s="439" t="str">
        <f>'Input-FX Rates'!$B$5</f>
        <v>7521 &amp; 7522 PL Mechatronic Sensors (&amp; Electrification)</v>
      </c>
      <c r="G225" s="439" t="s">
        <v>1442</v>
      </c>
      <c r="H225" s="439" t="s">
        <v>1469</v>
      </c>
      <c r="I225" s="523"/>
      <c r="J225" s="523"/>
      <c r="K225" s="523"/>
      <c r="L225" s="524">
        <f>'6. HC (GC)'!E14</f>
        <v>0</v>
      </c>
      <c r="M225" s="523"/>
      <c r="N225" s="523"/>
      <c r="O225" s="524">
        <f>'6. HC (GC)'!R14</f>
        <v>0</v>
      </c>
      <c r="P225" s="523"/>
      <c r="Q225" s="523"/>
      <c r="R225" s="523"/>
      <c r="S225" s="523"/>
      <c r="T225" s="523"/>
      <c r="U225" s="523"/>
      <c r="V225" s="523"/>
      <c r="W225" s="523"/>
      <c r="X225" s="523"/>
      <c r="Y225" s="523"/>
      <c r="Z225" s="523"/>
      <c r="AA225" s="523"/>
      <c r="AB225" s="523"/>
      <c r="AC225" s="523"/>
      <c r="AD225" s="523"/>
      <c r="AE225" s="523"/>
      <c r="AF225" s="523"/>
      <c r="AG225" s="523"/>
      <c r="AH225" s="523"/>
      <c r="AI225" s="523"/>
      <c r="AJ225" s="523"/>
      <c r="AK225" s="523"/>
      <c r="AL225" s="523"/>
      <c r="AM225" s="523"/>
      <c r="AN225" s="523"/>
      <c r="AO225" s="439" t="str">
        <f>'6. HC (GC)'!U14</f>
        <v/>
      </c>
      <c r="AP225" s="439">
        <v>195</v>
      </c>
      <c r="AQ225" s="439" t="str">
        <f>Settings!$A$1</f>
        <v>V2</v>
      </c>
    </row>
    <row r="226" spans="1:43" x14ac:dyDescent="0.2">
      <c r="A226" s="439">
        <f>'Input-FX Rates'!$C$4</f>
        <v>242</v>
      </c>
      <c r="B226" s="439" t="str">
        <f>'Input-FX Rates'!$B$4</f>
        <v>ICH Icheon (242)</v>
      </c>
      <c r="C226" s="439">
        <f>'Input-FX Rates'!$C$6</f>
        <v>750</v>
      </c>
      <c r="D226" s="439" t="str">
        <f>'Input-FX Rates'!$B$6</f>
        <v>750 BU Sensorics &amp; Controls</v>
      </c>
      <c r="E226" s="439" t="str">
        <f>'Input-FX Rates'!$C$5</f>
        <v>7521 &amp; 7522</v>
      </c>
      <c r="F226" s="439" t="str">
        <f>'Input-FX Rates'!$B$5</f>
        <v>7521 &amp; 7522 PL Mechatronic Sensors (&amp; Electrification)</v>
      </c>
      <c r="G226" s="439" t="s">
        <v>1442</v>
      </c>
      <c r="H226" s="439" t="s">
        <v>1470</v>
      </c>
      <c r="I226" s="523"/>
      <c r="J226" s="523"/>
      <c r="K226" s="523"/>
      <c r="L226" s="524">
        <f>'6. HC (GC)'!E15</f>
        <v>0</v>
      </c>
      <c r="M226" s="523"/>
      <c r="N226" s="523"/>
      <c r="O226" s="524">
        <f>'6. HC (GC)'!R15</f>
        <v>0</v>
      </c>
      <c r="P226" s="523"/>
      <c r="Q226" s="523"/>
      <c r="R226" s="523"/>
      <c r="S226" s="523"/>
      <c r="T226" s="523"/>
      <c r="U226" s="523"/>
      <c r="V226" s="523"/>
      <c r="W226" s="523"/>
      <c r="X226" s="523"/>
      <c r="Y226" s="523"/>
      <c r="Z226" s="523"/>
      <c r="AA226" s="523"/>
      <c r="AB226" s="523"/>
      <c r="AC226" s="523"/>
      <c r="AD226" s="523"/>
      <c r="AE226" s="523"/>
      <c r="AF226" s="523"/>
      <c r="AG226" s="523"/>
      <c r="AH226" s="523"/>
      <c r="AI226" s="523"/>
      <c r="AJ226" s="523"/>
      <c r="AK226" s="523"/>
      <c r="AL226" s="523"/>
      <c r="AM226" s="523"/>
      <c r="AN226" s="523"/>
      <c r="AO226" s="439" t="str">
        <f>'6. HC (GC)'!U15</f>
        <v/>
      </c>
      <c r="AP226" s="439">
        <v>196</v>
      </c>
      <c r="AQ226" s="439" t="str">
        <f>Settings!$A$1</f>
        <v>V2</v>
      </c>
    </row>
    <row r="227" spans="1:43" x14ac:dyDescent="0.2">
      <c r="A227" s="439">
        <f>'Input-FX Rates'!$C$4</f>
        <v>242</v>
      </c>
      <c r="B227" s="439" t="str">
        <f>'Input-FX Rates'!$B$4</f>
        <v>ICH Icheon (242)</v>
      </c>
      <c r="C227" s="439">
        <f>'Input-FX Rates'!$C$6</f>
        <v>750</v>
      </c>
      <c r="D227" s="439" t="str">
        <f>'Input-FX Rates'!$B$6</f>
        <v>750 BU Sensorics &amp; Controls</v>
      </c>
      <c r="E227" s="439" t="str">
        <f>'Input-FX Rates'!$C$5</f>
        <v>7521 &amp; 7522</v>
      </c>
      <c r="F227" s="439" t="str">
        <f>'Input-FX Rates'!$B$5</f>
        <v>7521 &amp; 7522 PL Mechatronic Sensors (&amp; Electrification)</v>
      </c>
      <c r="G227" s="439" t="s">
        <v>1442</v>
      </c>
      <c r="H227" s="439" t="s">
        <v>1471</v>
      </c>
      <c r="I227" s="523"/>
      <c r="J227" s="523"/>
      <c r="K227" s="523"/>
      <c r="L227" s="524">
        <f>'6. HC (GC)'!E16</f>
        <v>0</v>
      </c>
      <c r="M227" s="523"/>
      <c r="N227" s="523"/>
      <c r="O227" s="524">
        <f>'6. HC (GC)'!R16</f>
        <v>0</v>
      </c>
      <c r="P227" s="523"/>
      <c r="Q227" s="523"/>
      <c r="R227" s="523"/>
      <c r="S227" s="523"/>
      <c r="T227" s="523"/>
      <c r="U227" s="523"/>
      <c r="V227" s="523"/>
      <c r="W227" s="523"/>
      <c r="X227" s="523"/>
      <c r="Y227" s="523"/>
      <c r="Z227" s="523"/>
      <c r="AA227" s="523"/>
      <c r="AB227" s="523"/>
      <c r="AC227" s="523"/>
      <c r="AD227" s="523"/>
      <c r="AE227" s="523"/>
      <c r="AF227" s="523"/>
      <c r="AG227" s="523"/>
      <c r="AH227" s="523"/>
      <c r="AI227" s="523"/>
      <c r="AJ227" s="523"/>
      <c r="AK227" s="523"/>
      <c r="AL227" s="523"/>
      <c r="AM227" s="523"/>
      <c r="AN227" s="523"/>
      <c r="AO227" s="439" t="str">
        <f>'6. HC (GC)'!U16</f>
        <v/>
      </c>
      <c r="AP227" s="439">
        <v>197</v>
      </c>
      <c r="AQ227" s="439" t="str">
        <f>Settings!$A$1</f>
        <v>V2</v>
      </c>
    </row>
    <row r="228" spans="1:43" x14ac:dyDescent="0.2">
      <c r="A228" s="439">
        <f>'Input-FX Rates'!$C$4</f>
        <v>242</v>
      </c>
      <c r="B228" s="439" t="str">
        <f>'Input-FX Rates'!$B$4</f>
        <v>ICH Icheon (242)</v>
      </c>
      <c r="C228" s="439">
        <f>'Input-FX Rates'!$C$6</f>
        <v>750</v>
      </c>
      <c r="D228" s="439" t="str">
        <f>'Input-FX Rates'!$B$6</f>
        <v>750 BU Sensorics &amp; Controls</v>
      </c>
      <c r="E228" s="439" t="str">
        <f>'Input-FX Rates'!$C$5</f>
        <v>7521 &amp; 7522</v>
      </c>
      <c r="F228" s="439" t="str">
        <f>'Input-FX Rates'!$B$5</f>
        <v>7521 &amp; 7522 PL Mechatronic Sensors (&amp; Electrification)</v>
      </c>
      <c r="G228" s="439" t="s">
        <v>1442</v>
      </c>
      <c r="H228" s="439" t="s">
        <v>1472</v>
      </c>
      <c r="I228" s="523"/>
      <c r="J228" s="523"/>
      <c r="K228" s="523"/>
      <c r="L228" s="524">
        <f>'6. HC (GC)'!E17</f>
        <v>0</v>
      </c>
      <c r="M228" s="523"/>
      <c r="N228" s="523"/>
      <c r="O228" s="524">
        <f>'6. HC (GC)'!R17</f>
        <v>0</v>
      </c>
      <c r="P228" s="523"/>
      <c r="Q228" s="523"/>
      <c r="R228" s="523"/>
      <c r="S228" s="523"/>
      <c r="T228" s="523"/>
      <c r="U228" s="523"/>
      <c r="V228" s="523"/>
      <c r="W228" s="523"/>
      <c r="X228" s="523"/>
      <c r="Y228" s="523"/>
      <c r="Z228" s="523"/>
      <c r="AA228" s="523"/>
      <c r="AB228" s="523"/>
      <c r="AC228" s="523"/>
      <c r="AD228" s="523"/>
      <c r="AE228" s="523"/>
      <c r="AF228" s="523"/>
      <c r="AG228" s="523"/>
      <c r="AH228" s="523"/>
      <c r="AI228" s="523"/>
      <c r="AJ228" s="523"/>
      <c r="AK228" s="523"/>
      <c r="AL228" s="523"/>
      <c r="AM228" s="523"/>
      <c r="AN228" s="523"/>
      <c r="AO228" s="439" t="str">
        <f>'6. HC (GC)'!U17</f>
        <v/>
      </c>
      <c r="AP228" s="439">
        <v>198</v>
      </c>
      <c r="AQ228" s="439" t="str">
        <f>Settings!$A$1</f>
        <v>V2</v>
      </c>
    </row>
    <row r="229" spans="1:43" x14ac:dyDescent="0.2">
      <c r="A229" s="439">
        <f>'Input-FX Rates'!$C$4</f>
        <v>242</v>
      </c>
      <c r="B229" s="439" t="str">
        <f>'Input-FX Rates'!$B$4</f>
        <v>ICH Icheon (242)</v>
      </c>
      <c r="C229" s="439">
        <f>'Input-FX Rates'!$C$6</f>
        <v>750</v>
      </c>
      <c r="D229" s="439" t="str">
        <f>'Input-FX Rates'!$B$6</f>
        <v>750 BU Sensorics &amp; Controls</v>
      </c>
      <c r="E229" s="439" t="str">
        <f>'Input-FX Rates'!$C$5</f>
        <v>7521 &amp; 7522</v>
      </c>
      <c r="F229" s="439" t="str">
        <f>'Input-FX Rates'!$B$5</f>
        <v>7521 &amp; 7522 PL Mechatronic Sensors (&amp; Electrification)</v>
      </c>
      <c r="G229" s="439" t="s">
        <v>1442</v>
      </c>
      <c r="H229" s="439" t="s">
        <v>1473</v>
      </c>
      <c r="I229" s="523"/>
      <c r="J229" s="523"/>
      <c r="K229" s="523"/>
      <c r="L229" s="524">
        <f>'6. HC (GC)'!E18</f>
        <v>1</v>
      </c>
      <c r="M229" s="523"/>
      <c r="N229" s="523"/>
      <c r="O229" s="524">
        <f>'6. HC (GC)'!R18</f>
        <v>1</v>
      </c>
      <c r="P229" s="523"/>
      <c r="Q229" s="523"/>
      <c r="R229" s="523"/>
      <c r="S229" s="523"/>
      <c r="T229" s="523"/>
      <c r="U229" s="523"/>
      <c r="V229" s="523"/>
      <c r="W229" s="523"/>
      <c r="X229" s="523"/>
      <c r="Y229" s="523"/>
      <c r="Z229" s="523"/>
      <c r="AA229" s="523"/>
      <c r="AB229" s="523"/>
      <c r="AC229" s="523"/>
      <c r="AD229" s="523"/>
      <c r="AE229" s="523"/>
      <c r="AF229" s="523"/>
      <c r="AG229" s="523"/>
      <c r="AH229" s="523"/>
      <c r="AI229" s="523"/>
      <c r="AJ229" s="523"/>
      <c r="AK229" s="523"/>
      <c r="AL229" s="523"/>
      <c r="AM229" s="523"/>
      <c r="AN229" s="523"/>
      <c r="AO229" s="439" t="str">
        <f>'6. HC (GC)'!U18</f>
        <v/>
      </c>
      <c r="AP229" s="439">
        <v>199</v>
      </c>
      <c r="AQ229" s="439" t="str">
        <f>Settings!$A$1</f>
        <v>V2</v>
      </c>
    </row>
    <row r="230" spans="1:43" x14ac:dyDescent="0.2">
      <c r="A230" s="439">
        <f>'Input-FX Rates'!$C$4</f>
        <v>242</v>
      </c>
      <c r="B230" s="439" t="str">
        <f>'Input-FX Rates'!$B$4</f>
        <v>ICH Icheon (242)</v>
      </c>
      <c r="C230" s="439">
        <f>'Input-FX Rates'!$C$6</f>
        <v>750</v>
      </c>
      <c r="D230" s="439" t="str">
        <f>'Input-FX Rates'!$B$6</f>
        <v>750 BU Sensorics &amp; Controls</v>
      </c>
      <c r="E230" s="439" t="str">
        <f>'Input-FX Rates'!$C$5</f>
        <v>7521 &amp; 7522</v>
      </c>
      <c r="F230" s="439" t="str">
        <f>'Input-FX Rates'!$B$5</f>
        <v>7521 &amp; 7522 PL Mechatronic Sensors (&amp; Electrification)</v>
      </c>
      <c r="G230" s="439" t="s">
        <v>1442</v>
      </c>
      <c r="H230" s="439" t="s">
        <v>1474</v>
      </c>
      <c r="I230" s="523"/>
      <c r="J230" s="523"/>
      <c r="K230" s="523"/>
      <c r="L230" s="524">
        <f>'6. HC (GC)'!E19</f>
        <v>23.2</v>
      </c>
      <c r="M230" s="523"/>
      <c r="N230" s="523"/>
      <c r="O230" s="524">
        <f>'6. HC (GC)'!R19</f>
        <v>27</v>
      </c>
      <c r="P230" s="523"/>
      <c r="Q230" s="523"/>
      <c r="R230" s="523"/>
      <c r="S230" s="523"/>
      <c r="T230" s="523"/>
      <c r="U230" s="523"/>
      <c r="V230" s="523"/>
      <c r="W230" s="523"/>
      <c r="X230" s="523"/>
      <c r="Y230" s="523"/>
      <c r="Z230" s="523"/>
      <c r="AA230" s="523"/>
      <c r="AB230" s="523"/>
      <c r="AC230" s="523"/>
      <c r="AD230" s="523"/>
      <c r="AE230" s="523"/>
      <c r="AF230" s="523"/>
      <c r="AG230" s="523"/>
      <c r="AH230" s="523"/>
      <c r="AI230" s="523"/>
      <c r="AJ230" s="523"/>
      <c r="AK230" s="523"/>
      <c r="AL230" s="523"/>
      <c r="AM230" s="523"/>
      <c r="AN230" s="523"/>
      <c r="AO230" s="439" t="str">
        <f>'6. HC (GC)'!U19</f>
        <v/>
      </c>
      <c r="AP230" s="439">
        <v>200</v>
      </c>
      <c r="AQ230" s="439" t="str">
        <f>Settings!$A$1</f>
        <v>V2</v>
      </c>
    </row>
    <row r="231" spans="1:43" s="843" customFormat="1" x14ac:dyDescent="0.2">
      <c r="A231" s="843">
        <f>'Input-FX Rates'!$C$4</f>
        <v>242</v>
      </c>
      <c r="B231" s="843" t="str">
        <f>'Input-FX Rates'!$B$4</f>
        <v>ICH Icheon (242)</v>
      </c>
      <c r="C231" s="843">
        <f>'Input-FX Rates'!$C$6</f>
        <v>750</v>
      </c>
      <c r="D231" s="843" t="str">
        <f>'Input-FX Rates'!$B$6</f>
        <v>750 BU Sensorics &amp; Controls</v>
      </c>
      <c r="E231" s="843" t="str">
        <f>'Input-FX Rates'!$C$5</f>
        <v>7521 &amp; 7522</v>
      </c>
      <c r="F231" s="843" t="str">
        <f>'Input-FX Rates'!$B$5</f>
        <v>7521 &amp; 7522 PL Mechatronic Sensors (&amp; Electrification)</v>
      </c>
      <c r="G231" s="843" t="s">
        <v>1442</v>
      </c>
      <c r="H231" s="843" t="s">
        <v>1475</v>
      </c>
      <c r="I231" s="844"/>
      <c r="J231" s="844"/>
      <c r="K231" s="844"/>
      <c r="L231" s="845">
        <f>'6. HC (GC)'!E21</f>
        <v>0</v>
      </c>
      <c r="M231" s="844"/>
      <c r="N231" s="844"/>
      <c r="O231" s="845">
        <f>'6. HC (GC)'!R21</f>
        <v>0</v>
      </c>
      <c r="P231" s="844"/>
      <c r="Q231" s="844"/>
      <c r="R231" s="844"/>
      <c r="S231" s="844"/>
      <c r="T231" s="844"/>
      <c r="U231" s="844"/>
      <c r="V231" s="844"/>
      <c r="W231" s="845">
        <f>'6. HC (GC)'!F21</f>
        <v>0</v>
      </c>
      <c r="X231" s="845">
        <f>'6. HC (GC)'!G21</f>
        <v>0</v>
      </c>
      <c r="Y231" s="845">
        <f>'6. HC (GC)'!H21</f>
        <v>0</v>
      </c>
      <c r="Z231" s="845">
        <f>'6. HC (GC)'!I21</f>
        <v>0</v>
      </c>
      <c r="AA231" s="845">
        <f>'6. HC (GC)'!J21</f>
        <v>0</v>
      </c>
      <c r="AB231" s="845">
        <f>'6. HC (GC)'!K21</f>
        <v>0</v>
      </c>
      <c r="AC231" s="845">
        <f>'6. HC (GC)'!L21</f>
        <v>0</v>
      </c>
      <c r="AD231" s="845">
        <f>'6. HC (GC)'!M21</f>
        <v>0</v>
      </c>
      <c r="AE231" s="845">
        <f>'6. HC (GC)'!N21</f>
        <v>0</v>
      </c>
      <c r="AF231" s="845">
        <f>'6. HC (GC)'!O21</f>
        <v>0</v>
      </c>
      <c r="AG231" s="845">
        <f>'6. HC (GC)'!P21</f>
        <v>0</v>
      </c>
      <c r="AH231" s="845">
        <f>'6. HC (GC)'!Q21</f>
        <v>0</v>
      </c>
      <c r="AI231" s="844"/>
      <c r="AJ231" s="844"/>
      <c r="AK231" s="844"/>
      <c r="AL231" s="844"/>
      <c r="AM231" s="844"/>
      <c r="AN231" s="844"/>
      <c r="AO231" s="843" t="str">
        <f>'6. HC (GC)'!U21</f>
        <v/>
      </c>
      <c r="AP231" s="843">
        <v>201</v>
      </c>
      <c r="AQ231" s="843" t="str">
        <f>Settings!$A$1</f>
        <v>V2</v>
      </c>
    </row>
    <row r="232" spans="1:43" s="843" customFormat="1" x14ac:dyDescent="0.2">
      <c r="A232" s="843">
        <f>'Input-FX Rates'!$C$4</f>
        <v>242</v>
      </c>
      <c r="B232" s="843" t="str">
        <f>'Input-FX Rates'!$B$4</f>
        <v>ICH Icheon (242)</v>
      </c>
      <c r="C232" s="843">
        <f>'Input-FX Rates'!$C$6</f>
        <v>750</v>
      </c>
      <c r="D232" s="843" t="str">
        <f>'Input-FX Rates'!$B$6</f>
        <v>750 BU Sensorics &amp; Controls</v>
      </c>
      <c r="E232" s="843" t="str">
        <f>'Input-FX Rates'!$C$5</f>
        <v>7521 &amp; 7522</v>
      </c>
      <c r="F232" s="843" t="str">
        <f>'Input-FX Rates'!$B$5</f>
        <v>7521 &amp; 7522 PL Mechatronic Sensors (&amp; Electrification)</v>
      </c>
      <c r="G232" s="843" t="s">
        <v>1442</v>
      </c>
      <c r="H232" s="843" t="s">
        <v>1476</v>
      </c>
      <c r="I232" s="844"/>
      <c r="J232" s="844"/>
      <c r="K232" s="844"/>
      <c r="L232" s="845">
        <f>'6. HC (GC)'!E22</f>
        <v>4</v>
      </c>
      <c r="M232" s="844"/>
      <c r="N232" s="844"/>
      <c r="O232" s="845">
        <f>'6. HC (GC)'!R22</f>
        <v>4</v>
      </c>
      <c r="P232" s="844"/>
      <c r="Q232" s="844"/>
      <c r="R232" s="844"/>
      <c r="S232" s="844"/>
      <c r="T232" s="844"/>
      <c r="U232" s="844"/>
      <c r="V232" s="844"/>
      <c r="W232" s="845">
        <f>'6. HC (GC)'!F22</f>
        <v>0</v>
      </c>
      <c r="X232" s="845">
        <f>'6. HC (GC)'!G22</f>
        <v>0</v>
      </c>
      <c r="Y232" s="845">
        <f>'6. HC (GC)'!H22</f>
        <v>0</v>
      </c>
      <c r="Z232" s="845">
        <f>'6. HC (GC)'!I22</f>
        <v>0</v>
      </c>
      <c r="AA232" s="845">
        <f>'6. HC (GC)'!J22</f>
        <v>0</v>
      </c>
      <c r="AB232" s="845">
        <f>'6. HC (GC)'!K22</f>
        <v>0</v>
      </c>
      <c r="AC232" s="845">
        <f>'6. HC (GC)'!L22</f>
        <v>0</v>
      </c>
      <c r="AD232" s="845">
        <f>'6. HC (GC)'!M22</f>
        <v>0</v>
      </c>
      <c r="AE232" s="845">
        <f>'6. HC (GC)'!N22</f>
        <v>0</v>
      </c>
      <c r="AF232" s="845">
        <f>'6. HC (GC)'!O22</f>
        <v>0</v>
      </c>
      <c r="AG232" s="845">
        <f>'6. HC (GC)'!P22</f>
        <v>0</v>
      </c>
      <c r="AH232" s="845">
        <f>'6. HC (GC)'!Q22</f>
        <v>4</v>
      </c>
      <c r="AI232" s="844"/>
      <c r="AJ232" s="844"/>
      <c r="AK232" s="844"/>
      <c r="AL232" s="844"/>
      <c r="AM232" s="844"/>
      <c r="AN232" s="844"/>
      <c r="AO232" s="843" t="str">
        <f>'6. HC (GC)'!U22</f>
        <v/>
      </c>
      <c r="AP232" s="843">
        <v>1201</v>
      </c>
      <c r="AQ232" s="843" t="str">
        <f>Settings!$A$1</f>
        <v>V2</v>
      </c>
    </row>
    <row r="233" spans="1:43" x14ac:dyDescent="0.2">
      <c r="A233" s="439">
        <f>'Input-FX Rates'!$C$4</f>
        <v>242</v>
      </c>
      <c r="B233" s="439" t="str">
        <f>'Input-FX Rates'!$B$4</f>
        <v>ICH Icheon (242)</v>
      </c>
      <c r="C233" s="439">
        <f>'Input-FX Rates'!$C$6</f>
        <v>750</v>
      </c>
      <c r="D233" s="439" t="str">
        <f>'Input-FX Rates'!$B$6</f>
        <v>750 BU Sensorics &amp; Controls</v>
      </c>
      <c r="E233" s="439" t="str">
        <f>'Input-FX Rates'!$C$5</f>
        <v>7521 &amp; 7522</v>
      </c>
      <c r="F233" s="439" t="str">
        <f>'Input-FX Rates'!$B$5</f>
        <v>7521 &amp; 7522 PL Mechatronic Sensors (&amp; Electrification)</v>
      </c>
      <c r="G233" s="439" t="s">
        <v>1442</v>
      </c>
      <c r="H233" s="439" t="s">
        <v>1477</v>
      </c>
      <c r="I233" s="523"/>
      <c r="J233" s="523"/>
      <c r="K233" s="523"/>
      <c r="L233" s="524">
        <f>'6. HC (GC)'!E24</f>
        <v>22</v>
      </c>
      <c r="M233" s="523"/>
      <c r="N233" s="523"/>
      <c r="O233" s="524">
        <f>'6. HC (GC)'!R24</f>
        <v>26</v>
      </c>
      <c r="P233" s="523"/>
      <c r="Q233" s="523"/>
      <c r="R233" s="523"/>
      <c r="S233" s="523"/>
      <c r="T233" s="523"/>
      <c r="U233" s="523"/>
      <c r="V233" s="523"/>
      <c r="W233" s="523"/>
      <c r="X233" s="523"/>
      <c r="Y233" s="523"/>
      <c r="Z233" s="523"/>
      <c r="AA233" s="523"/>
      <c r="AB233" s="523"/>
      <c r="AC233" s="523"/>
      <c r="AD233" s="523"/>
      <c r="AE233" s="523"/>
      <c r="AF233" s="523"/>
      <c r="AG233" s="523"/>
      <c r="AH233" s="523"/>
      <c r="AI233" s="523"/>
      <c r="AJ233" s="523"/>
      <c r="AK233" s="523"/>
      <c r="AL233" s="523"/>
      <c r="AM233" s="523"/>
      <c r="AN233" s="523"/>
      <c r="AO233" s="439" t="str">
        <f>'6. HC (GC)'!U24</f>
        <v/>
      </c>
      <c r="AP233" s="439">
        <v>202</v>
      </c>
      <c r="AQ233" s="439" t="str">
        <f>Settings!$A$1</f>
        <v>V2</v>
      </c>
    </row>
    <row r="234" spans="1:43" x14ac:dyDescent="0.2">
      <c r="A234" s="439">
        <f>'Input-FX Rates'!$C$4</f>
        <v>242</v>
      </c>
      <c r="B234" s="439" t="str">
        <f>'Input-FX Rates'!$B$4</f>
        <v>ICH Icheon (242)</v>
      </c>
      <c r="C234" s="439">
        <f>'Input-FX Rates'!$C$6</f>
        <v>750</v>
      </c>
      <c r="D234" s="439" t="str">
        <f>'Input-FX Rates'!$B$6</f>
        <v>750 BU Sensorics &amp; Controls</v>
      </c>
      <c r="E234" s="439" t="str">
        <f>'Input-FX Rates'!$C$5</f>
        <v>7521 &amp; 7522</v>
      </c>
      <c r="F234" s="439" t="str">
        <f>'Input-FX Rates'!$B$5</f>
        <v>7521 &amp; 7522 PL Mechatronic Sensors (&amp; Electrification)</v>
      </c>
      <c r="G234" s="439" t="s">
        <v>1442</v>
      </c>
      <c r="H234" s="439" t="s">
        <v>1478</v>
      </c>
      <c r="I234" s="523"/>
      <c r="J234" s="523"/>
      <c r="K234" s="523"/>
      <c r="L234" s="524">
        <f>'6. HC (GC)'!E25</f>
        <v>5</v>
      </c>
      <c r="M234" s="523"/>
      <c r="N234" s="523"/>
      <c r="O234" s="524">
        <f>'6. HC (GC)'!R25</f>
        <v>5</v>
      </c>
      <c r="P234" s="523"/>
      <c r="Q234" s="523"/>
      <c r="R234" s="523"/>
      <c r="S234" s="523"/>
      <c r="T234" s="523"/>
      <c r="U234" s="523"/>
      <c r="V234" s="523"/>
      <c r="W234" s="523"/>
      <c r="X234" s="523"/>
      <c r="Y234" s="523"/>
      <c r="Z234" s="523"/>
      <c r="AA234" s="523"/>
      <c r="AB234" s="523"/>
      <c r="AC234" s="523"/>
      <c r="AD234" s="523"/>
      <c r="AE234" s="523"/>
      <c r="AF234" s="523"/>
      <c r="AG234" s="523"/>
      <c r="AH234" s="523"/>
      <c r="AI234" s="523"/>
      <c r="AJ234" s="523"/>
      <c r="AK234" s="523"/>
      <c r="AL234" s="523"/>
      <c r="AM234" s="523"/>
      <c r="AN234" s="523"/>
      <c r="AO234" s="439" t="str">
        <f>'6. HC (GC)'!U25</f>
        <v/>
      </c>
      <c r="AP234" s="439">
        <v>203</v>
      </c>
      <c r="AQ234" s="439" t="str">
        <f>Settings!$A$1</f>
        <v>V2</v>
      </c>
    </row>
    <row r="235" spans="1:43" x14ac:dyDescent="0.2">
      <c r="A235" s="439">
        <f>'Input-FX Rates'!$C$4</f>
        <v>242</v>
      </c>
      <c r="B235" s="439" t="str">
        <f>'Input-FX Rates'!$B$4</f>
        <v>ICH Icheon (242)</v>
      </c>
      <c r="C235" s="439">
        <f>'Input-FX Rates'!$C$6</f>
        <v>750</v>
      </c>
      <c r="D235" s="439" t="str">
        <f>'Input-FX Rates'!$B$6</f>
        <v>750 BU Sensorics &amp; Controls</v>
      </c>
      <c r="E235" s="439" t="str">
        <f>'Input-FX Rates'!$C$5</f>
        <v>7521 &amp; 7522</v>
      </c>
      <c r="F235" s="439" t="str">
        <f>'Input-FX Rates'!$B$5</f>
        <v>7521 &amp; 7522 PL Mechatronic Sensors (&amp; Electrification)</v>
      </c>
      <c r="G235" s="439" t="s">
        <v>1442</v>
      </c>
      <c r="H235" s="439" t="s">
        <v>631</v>
      </c>
      <c r="I235" s="523"/>
      <c r="J235" s="523"/>
      <c r="K235" s="523"/>
      <c r="L235" s="524">
        <f>'6. HC (GC)'!E29</f>
        <v>47549.512953855716</v>
      </c>
      <c r="M235" s="523"/>
      <c r="N235" s="523"/>
      <c r="O235" s="524">
        <f>'6. HC (GC)'!R29</f>
        <v>47813.206896551725</v>
      </c>
      <c r="P235" s="523"/>
      <c r="Q235" s="523"/>
      <c r="R235" s="523"/>
      <c r="S235" s="523"/>
      <c r="T235" s="523"/>
      <c r="U235" s="523"/>
      <c r="V235" s="523"/>
      <c r="W235" s="523"/>
      <c r="X235" s="523"/>
      <c r="Y235" s="523"/>
      <c r="Z235" s="523"/>
      <c r="AA235" s="523"/>
      <c r="AB235" s="523"/>
      <c r="AC235" s="523"/>
      <c r="AD235" s="523"/>
      <c r="AE235" s="523"/>
      <c r="AF235" s="523"/>
      <c r="AG235" s="523"/>
      <c r="AH235" s="523"/>
      <c r="AI235" s="523"/>
      <c r="AJ235" s="523"/>
      <c r="AK235" s="523"/>
      <c r="AL235" s="523"/>
      <c r="AM235" s="523"/>
      <c r="AN235" s="523"/>
      <c r="AO235" s="439" t="str">
        <f>'6. HC (GC)'!U29</f>
        <v/>
      </c>
      <c r="AP235" s="439">
        <v>204</v>
      </c>
      <c r="AQ235" s="439" t="str">
        <f>Settings!$A$1</f>
        <v>V2</v>
      </c>
    </row>
    <row r="236" spans="1:43" x14ac:dyDescent="0.2">
      <c r="A236" s="439">
        <f>'Input-FX Rates'!$C$4</f>
        <v>242</v>
      </c>
      <c r="B236" s="439" t="str">
        <f>'Input-FX Rates'!$B$4</f>
        <v>ICH Icheon (242)</v>
      </c>
      <c r="C236" s="439">
        <f>'Input-FX Rates'!$C$6</f>
        <v>750</v>
      </c>
      <c r="D236" s="439" t="str">
        <f>'Input-FX Rates'!$B$6</f>
        <v>750 BU Sensorics &amp; Controls</v>
      </c>
      <c r="E236" s="439" t="str">
        <f>'Input-FX Rates'!$C$5</f>
        <v>7521 &amp; 7522</v>
      </c>
      <c r="F236" s="439" t="str">
        <f>'Input-FX Rates'!$B$5</f>
        <v>7521 &amp; 7522 PL Mechatronic Sensors (&amp; Electrification)</v>
      </c>
      <c r="G236" s="439" t="s">
        <v>1442</v>
      </c>
      <c r="H236" s="439" t="s">
        <v>633</v>
      </c>
      <c r="I236" s="523"/>
      <c r="J236" s="523"/>
      <c r="K236" s="523"/>
      <c r="L236" s="524">
        <f>'6. HC (GC)'!E30</f>
        <v>64420.636456393833</v>
      </c>
      <c r="M236" s="523"/>
      <c r="N236" s="523"/>
      <c r="O236" s="524">
        <f>'6. HC (GC)'!R30</f>
        <v>64792.45379310345</v>
      </c>
      <c r="P236" s="523"/>
      <c r="Q236" s="523"/>
      <c r="R236" s="523"/>
      <c r="S236" s="523"/>
      <c r="T236" s="523"/>
      <c r="U236" s="523"/>
      <c r="V236" s="523"/>
      <c r="W236" s="523"/>
      <c r="X236" s="523"/>
      <c r="Y236" s="523"/>
      <c r="Z236" s="523"/>
      <c r="AA236" s="523"/>
      <c r="AB236" s="523"/>
      <c r="AC236" s="523"/>
      <c r="AD236" s="523"/>
      <c r="AE236" s="523"/>
      <c r="AF236" s="523"/>
      <c r="AG236" s="523"/>
      <c r="AH236" s="523"/>
      <c r="AI236" s="523"/>
      <c r="AJ236" s="523"/>
      <c r="AK236" s="523"/>
      <c r="AL236" s="523"/>
      <c r="AM236" s="523"/>
      <c r="AN236" s="523"/>
      <c r="AO236" s="439" t="str">
        <f>'6. HC (GC)'!U30</f>
        <v/>
      </c>
      <c r="AP236" s="439">
        <v>205</v>
      </c>
      <c r="AQ236" s="439" t="str">
        <f>Settings!$A$1</f>
        <v>V2</v>
      </c>
    </row>
    <row r="237" spans="1:43" x14ac:dyDescent="0.2">
      <c r="A237" s="439">
        <f>'Input-FX Rates'!$C$4</f>
        <v>242</v>
      </c>
      <c r="B237" s="439" t="str">
        <f>'Input-FX Rates'!$B$4</f>
        <v>ICH Icheon (242)</v>
      </c>
      <c r="C237" s="439">
        <f>'Input-FX Rates'!$C$6</f>
        <v>750</v>
      </c>
      <c r="D237" s="439" t="str">
        <f>'Input-FX Rates'!$B$6</f>
        <v>750 BU Sensorics &amp; Controls</v>
      </c>
      <c r="E237" s="439" t="str">
        <f>'Input-FX Rates'!$C$5</f>
        <v>7521 &amp; 7522</v>
      </c>
      <c r="F237" s="439" t="str">
        <f>'Input-FX Rates'!$B$5</f>
        <v>7521 &amp; 7522 PL Mechatronic Sensors (&amp; Electrification)</v>
      </c>
      <c r="G237" s="439" t="s">
        <v>1442</v>
      </c>
      <c r="H237" s="439" t="s">
        <v>1479</v>
      </c>
      <c r="I237" s="523"/>
      <c r="J237" s="523"/>
      <c r="K237" s="523"/>
      <c r="L237" s="524">
        <f>'6. HC (GC)'!E31</f>
        <v>94194.068315307217</v>
      </c>
      <c r="M237" s="523"/>
      <c r="N237" s="523"/>
      <c r="O237" s="524">
        <f>'6. HC (GC)'!R31</f>
        <v>95113.240689655169</v>
      </c>
      <c r="P237" s="523"/>
      <c r="Q237" s="523"/>
      <c r="R237" s="523"/>
      <c r="S237" s="523"/>
      <c r="T237" s="523"/>
      <c r="U237" s="523"/>
      <c r="V237" s="523"/>
      <c r="W237" s="523"/>
      <c r="X237" s="523"/>
      <c r="Y237" s="523"/>
      <c r="Z237" s="523"/>
      <c r="AA237" s="523"/>
      <c r="AB237" s="523"/>
      <c r="AC237" s="523"/>
      <c r="AD237" s="523"/>
      <c r="AE237" s="523"/>
      <c r="AF237" s="523"/>
      <c r="AG237" s="523"/>
      <c r="AH237" s="523"/>
      <c r="AI237" s="523"/>
      <c r="AJ237" s="523"/>
      <c r="AK237" s="523"/>
      <c r="AL237" s="523"/>
      <c r="AM237" s="523"/>
      <c r="AN237" s="523"/>
      <c r="AO237" s="439" t="str">
        <f>'6. HC (GC)'!U31</f>
        <v/>
      </c>
      <c r="AP237" s="439">
        <v>206</v>
      </c>
      <c r="AQ237" s="439" t="str">
        <f>Settings!$A$1</f>
        <v>V2</v>
      </c>
    </row>
    <row r="238" spans="1:43" x14ac:dyDescent="0.2">
      <c r="A238" s="439">
        <f>'Input-FX Rates'!$C$4</f>
        <v>242</v>
      </c>
      <c r="B238" s="439" t="str">
        <f>'Input-FX Rates'!$B$4</f>
        <v>ICH Icheon (242)</v>
      </c>
      <c r="C238" s="439">
        <f>'Input-FX Rates'!$C$6</f>
        <v>750</v>
      </c>
      <c r="D238" s="439" t="str">
        <f>'Input-FX Rates'!$B$6</f>
        <v>750 BU Sensorics &amp; Controls</v>
      </c>
      <c r="E238" s="439" t="str">
        <f>'Input-FX Rates'!$C$5</f>
        <v>7521 &amp; 7522</v>
      </c>
      <c r="F238" s="439" t="str">
        <f>'Input-FX Rates'!$B$5</f>
        <v>7521 &amp; 7522 PL Mechatronic Sensors (&amp; Electrification)</v>
      </c>
      <c r="G238" s="439" t="s">
        <v>1442</v>
      </c>
      <c r="H238" s="439" t="s">
        <v>637</v>
      </c>
      <c r="I238" s="523"/>
      <c r="J238" s="523"/>
      <c r="K238" s="523"/>
      <c r="L238" s="523"/>
      <c r="M238" s="523"/>
      <c r="N238" s="523"/>
      <c r="O238" s="524">
        <f>'6. HC (GC)'!R32</f>
        <v>97223</v>
      </c>
      <c r="P238" s="523"/>
      <c r="Q238" s="523"/>
      <c r="R238" s="523"/>
      <c r="S238" s="523"/>
      <c r="T238" s="523"/>
      <c r="U238" s="523"/>
      <c r="V238" s="523"/>
      <c r="W238" s="523"/>
      <c r="X238" s="523"/>
      <c r="Y238" s="523"/>
      <c r="Z238" s="523"/>
      <c r="AA238" s="523"/>
      <c r="AB238" s="523"/>
      <c r="AC238" s="523"/>
      <c r="AD238" s="523"/>
      <c r="AE238" s="523"/>
      <c r="AF238" s="523"/>
      <c r="AG238" s="523"/>
      <c r="AH238" s="523"/>
      <c r="AI238" s="523"/>
      <c r="AJ238" s="523"/>
      <c r="AK238" s="523"/>
      <c r="AL238" s="523"/>
      <c r="AM238" s="523"/>
      <c r="AN238" s="523"/>
      <c r="AO238" s="439" t="str">
        <f>'6. HC (GC)'!U32</f>
        <v/>
      </c>
      <c r="AP238" s="439">
        <v>1206</v>
      </c>
      <c r="AQ238" s="439" t="str">
        <f>Settings!$A$1</f>
        <v>V2</v>
      </c>
    </row>
    <row r="239" spans="1:43" x14ac:dyDescent="0.2">
      <c r="A239" s="439">
        <f>'Input-FX Rates'!$C$4</f>
        <v>242</v>
      </c>
      <c r="B239" s="439" t="str">
        <f>'Input-FX Rates'!$B$4</f>
        <v>ICH Icheon (242)</v>
      </c>
      <c r="C239" s="439">
        <f>'Input-FX Rates'!$C$6</f>
        <v>750</v>
      </c>
      <c r="D239" s="439" t="str">
        <f>'Input-FX Rates'!$B$6</f>
        <v>750 BU Sensorics &amp; Controls</v>
      </c>
      <c r="E239" s="439" t="str">
        <f>'Input-FX Rates'!$C$5</f>
        <v>7521 &amp; 7522</v>
      </c>
      <c r="F239" s="439" t="str">
        <f>'Input-FX Rates'!$B$5</f>
        <v>7521 &amp; 7522 PL Mechatronic Sensors (&amp; Electrification)</v>
      </c>
      <c r="G239" s="439" t="s">
        <v>1442</v>
      </c>
      <c r="H239" s="439" t="s">
        <v>639</v>
      </c>
      <c r="I239" s="523"/>
      <c r="J239" s="523"/>
      <c r="K239" s="523"/>
      <c r="L239" s="523"/>
      <c r="M239" s="523"/>
      <c r="N239" s="523"/>
      <c r="O239" s="524">
        <f>'6. HC (GC)'!R33</f>
        <v>2939829</v>
      </c>
      <c r="P239" s="523"/>
      <c r="Q239" s="523"/>
      <c r="R239" s="523"/>
      <c r="S239" s="523"/>
      <c r="T239" s="523"/>
      <c r="U239" s="523"/>
      <c r="V239" s="523"/>
      <c r="W239" s="523"/>
      <c r="X239" s="523"/>
      <c r="Y239" s="523"/>
      <c r="Z239" s="523"/>
      <c r="AA239" s="523"/>
      <c r="AB239" s="523"/>
      <c r="AC239" s="523"/>
      <c r="AD239" s="523"/>
      <c r="AE239" s="523"/>
      <c r="AF239" s="523"/>
      <c r="AG239" s="523"/>
      <c r="AH239" s="523"/>
      <c r="AI239" s="523"/>
      <c r="AJ239" s="523"/>
      <c r="AK239" s="523"/>
      <c r="AL239" s="523"/>
      <c r="AM239" s="523"/>
      <c r="AN239" s="523"/>
      <c r="AO239" s="439" t="str">
        <f>'6. HC (GC)'!U33</f>
        <v/>
      </c>
      <c r="AP239" s="439">
        <v>1207</v>
      </c>
      <c r="AQ239" s="439" t="str">
        <f>Settings!$A$1</f>
        <v>V2</v>
      </c>
    </row>
    <row r="240" spans="1:43" s="843" customFormat="1" x14ac:dyDescent="0.2">
      <c r="A240" s="843">
        <f>'Input-FX Rates'!$C$4</f>
        <v>242</v>
      </c>
      <c r="B240" s="843" t="str">
        <f>'Input-FX Rates'!$B$4</f>
        <v>ICH Icheon (242)</v>
      </c>
      <c r="C240" s="843">
        <f>'Input-FX Rates'!$C$6</f>
        <v>750</v>
      </c>
      <c r="D240" s="843" t="str">
        <f>'Input-FX Rates'!$B$6</f>
        <v>750 BU Sensorics &amp; Controls</v>
      </c>
      <c r="E240" s="843" t="str">
        <f>'Input-FX Rates'!$C$5</f>
        <v>7521 &amp; 7522</v>
      </c>
      <c r="F240" s="843" t="str">
        <f>'Input-FX Rates'!$B$5</f>
        <v>7521 &amp; 7522 PL Mechatronic Sensors (&amp; Electrification)</v>
      </c>
      <c r="G240" s="843" t="s">
        <v>1442</v>
      </c>
      <c r="H240" s="843" t="s">
        <v>645</v>
      </c>
      <c r="I240" s="844"/>
      <c r="J240" s="844"/>
      <c r="K240" s="844"/>
      <c r="L240" s="844"/>
      <c r="M240" s="844"/>
      <c r="N240" s="844"/>
      <c r="O240" s="845">
        <f>'6. HC (GC)'!Q36</f>
        <v>3.7499999999999999E-2</v>
      </c>
      <c r="P240" s="844"/>
      <c r="Q240" s="844"/>
      <c r="R240" s="844"/>
      <c r="S240" s="844"/>
      <c r="T240" s="844"/>
      <c r="U240" s="844"/>
      <c r="V240" s="844"/>
      <c r="W240" s="844"/>
      <c r="X240" s="844"/>
      <c r="Y240" s="844"/>
      <c r="Z240" s="844"/>
      <c r="AA240" s="844"/>
      <c r="AB240" s="844"/>
      <c r="AC240" s="844"/>
      <c r="AD240" s="844"/>
      <c r="AE240" s="844"/>
      <c r="AF240" s="844"/>
      <c r="AG240" s="844"/>
      <c r="AH240" s="845">
        <f>'6. HC (GC)'!R36</f>
        <v>3.7499999999999999E-2</v>
      </c>
      <c r="AI240" s="844"/>
      <c r="AJ240" s="844"/>
      <c r="AK240" s="844"/>
      <c r="AL240" s="844"/>
      <c r="AM240" s="844"/>
      <c r="AN240" s="844"/>
      <c r="AO240" s="843" t="str">
        <f>'6. HC (GC)'!U36</f>
        <v/>
      </c>
      <c r="AP240" s="843">
        <v>207</v>
      </c>
      <c r="AQ240" s="843" t="str">
        <f>Settings!$A$1</f>
        <v>V2</v>
      </c>
    </row>
    <row r="241" spans="1:43" s="843" customFormat="1" x14ac:dyDescent="0.2">
      <c r="A241" s="843">
        <f>'Input-FX Rates'!$C$4</f>
        <v>242</v>
      </c>
      <c r="B241" s="843" t="str">
        <f>'Input-FX Rates'!$B$4</f>
        <v>ICH Icheon (242)</v>
      </c>
      <c r="C241" s="843">
        <f>'Input-FX Rates'!$C$6</f>
        <v>750</v>
      </c>
      <c r="D241" s="843" t="str">
        <f>'Input-FX Rates'!$B$6</f>
        <v>750 BU Sensorics &amp; Controls</v>
      </c>
      <c r="E241" s="843" t="str">
        <f>'Input-FX Rates'!$C$5</f>
        <v>7521 &amp; 7522</v>
      </c>
      <c r="F241" s="843" t="str">
        <f>'Input-FX Rates'!$B$5</f>
        <v>7521 &amp; 7522 PL Mechatronic Sensors (&amp; Electrification)</v>
      </c>
      <c r="G241" s="843" t="s">
        <v>1442</v>
      </c>
      <c r="H241" s="843" t="s">
        <v>648</v>
      </c>
      <c r="I241" s="844"/>
      <c r="J241" s="844"/>
      <c r="K241" s="844"/>
      <c r="L241" s="844"/>
      <c r="M241" s="844"/>
      <c r="N241" s="844"/>
      <c r="O241" s="845">
        <f>'6. HC (GC)'!Q37</f>
        <v>4.1300000000000003E-2</v>
      </c>
      <c r="P241" s="844"/>
      <c r="Q241" s="844"/>
      <c r="R241" s="844"/>
      <c r="S241" s="844"/>
      <c r="T241" s="844"/>
      <c r="U241" s="844"/>
      <c r="V241" s="844"/>
      <c r="W241" s="844"/>
      <c r="X241" s="844"/>
      <c r="Y241" s="844"/>
      <c r="Z241" s="844"/>
      <c r="AA241" s="844"/>
      <c r="AB241" s="844"/>
      <c r="AC241" s="844"/>
      <c r="AD241" s="844"/>
      <c r="AE241" s="844"/>
      <c r="AF241" s="844"/>
      <c r="AG241" s="844"/>
      <c r="AH241" s="845">
        <f>'6. HC (GC)'!R37</f>
        <v>4.1300000000000003E-2</v>
      </c>
      <c r="AI241" s="844"/>
      <c r="AJ241" s="844"/>
      <c r="AK241" s="844"/>
      <c r="AL241" s="844"/>
      <c r="AM241" s="844"/>
      <c r="AN241" s="844"/>
      <c r="AO241" s="843" t="str">
        <f>'6. HC (GC)'!U37</f>
        <v/>
      </c>
      <c r="AP241" s="843">
        <v>208</v>
      </c>
      <c r="AQ241" s="843" t="str">
        <f>Settings!$A$1</f>
        <v>V2</v>
      </c>
    </row>
    <row r="242" spans="1:43" s="843" customFormat="1" x14ac:dyDescent="0.2">
      <c r="A242" s="843">
        <f>'Input-FX Rates'!$C$4</f>
        <v>242</v>
      </c>
      <c r="B242" s="843" t="str">
        <f>'Input-FX Rates'!$B$4</f>
        <v>ICH Icheon (242)</v>
      </c>
      <c r="C242" s="843">
        <f>'Input-FX Rates'!$C$6</f>
        <v>750</v>
      </c>
      <c r="D242" s="843" t="str">
        <f>'Input-FX Rates'!$B$6</f>
        <v>750 BU Sensorics &amp; Controls</v>
      </c>
      <c r="E242" s="843" t="str">
        <f>'Input-FX Rates'!$C$5</f>
        <v>7521 &amp; 7522</v>
      </c>
      <c r="F242" s="843" t="str">
        <f>'Input-FX Rates'!$B$5</f>
        <v>7521 &amp; 7522 PL Mechatronic Sensors (&amp; Electrification)</v>
      </c>
      <c r="G242" s="843" t="s">
        <v>1442</v>
      </c>
      <c r="H242" s="843" t="s">
        <v>649</v>
      </c>
      <c r="I242" s="844"/>
      <c r="J242" s="844"/>
      <c r="K242" s="844"/>
      <c r="L242" s="844"/>
      <c r="M242" s="844"/>
      <c r="N242" s="844"/>
      <c r="O242" s="845">
        <f>'6. HC (GC)'!Q38</f>
        <v>34.102816053178351</v>
      </c>
      <c r="P242" s="844"/>
      <c r="Q242" s="844"/>
      <c r="R242" s="844"/>
      <c r="S242" s="844"/>
      <c r="T242" s="844"/>
      <c r="U242" s="844"/>
      <c r="V242" s="844"/>
      <c r="W242" s="844"/>
      <c r="X242" s="844"/>
      <c r="Y242" s="844"/>
      <c r="Z242" s="844"/>
      <c r="AA242" s="844"/>
      <c r="AB242" s="844"/>
      <c r="AC242" s="844"/>
      <c r="AD242" s="844"/>
      <c r="AE242" s="844"/>
      <c r="AF242" s="844"/>
      <c r="AG242" s="844"/>
      <c r="AH242" s="845">
        <f>'6. HC (GC)'!R38</f>
        <v>34.102816053178351</v>
      </c>
      <c r="AI242" s="844"/>
      <c r="AJ242" s="844"/>
      <c r="AK242" s="844"/>
      <c r="AL242" s="844"/>
      <c r="AM242" s="844"/>
      <c r="AN242" s="844"/>
      <c r="AO242" s="843" t="str">
        <f>'6. HC (GC)'!U38</f>
        <v/>
      </c>
      <c r="AP242" s="843">
        <v>1208</v>
      </c>
      <c r="AQ242" s="843" t="str">
        <f>Settings!$A$1</f>
        <v>V2</v>
      </c>
    </row>
    <row r="243" spans="1:43" s="846" customFormat="1" x14ac:dyDescent="0.2">
      <c r="A243" s="846">
        <f>'Input-FX Rates'!$C$4</f>
        <v>242</v>
      </c>
      <c r="B243" s="846" t="str">
        <f>'Input-FX Rates'!$B$4</f>
        <v>ICH Icheon (242)</v>
      </c>
      <c r="C243" s="846">
        <f>'Input-FX Rates'!$C$6</f>
        <v>750</v>
      </c>
      <c r="D243" s="846" t="str">
        <f>'Input-FX Rates'!$B$6</f>
        <v>750 BU Sensorics &amp; Controls</v>
      </c>
      <c r="E243" s="846" t="str">
        <f>'Input-FX Rates'!$C$5</f>
        <v>7521 &amp; 7522</v>
      </c>
      <c r="F243" s="846" t="str">
        <f>'Input-FX Rates'!$B$5</f>
        <v>7521 &amp; 7522 PL Mechatronic Sensors (&amp; Electrification)</v>
      </c>
      <c r="G243" s="846" t="s">
        <v>1442</v>
      </c>
      <c r="H243" s="846" t="s">
        <v>651</v>
      </c>
      <c r="I243" s="847"/>
      <c r="J243" s="847"/>
      <c r="K243" s="847"/>
      <c r="L243" s="847"/>
      <c r="M243" s="847"/>
      <c r="N243" s="847"/>
      <c r="O243" s="848">
        <f>'6. HC (GC)'!Q39</f>
        <v>5.925960007815176</v>
      </c>
      <c r="P243" s="847"/>
      <c r="Q243" s="847"/>
      <c r="R243" s="847"/>
      <c r="S243" s="847"/>
      <c r="T243" s="847"/>
      <c r="U243" s="847"/>
      <c r="V243" s="847"/>
      <c r="W243" s="847"/>
      <c r="X243" s="847"/>
      <c r="Y243" s="847"/>
      <c r="Z243" s="847"/>
      <c r="AA243" s="847"/>
      <c r="AB243" s="847"/>
      <c r="AC243" s="847"/>
      <c r="AD243" s="847"/>
      <c r="AE243" s="847"/>
      <c r="AF243" s="847"/>
      <c r="AG243" s="847"/>
      <c r="AH243" s="848">
        <f>'6. HC (GC)'!R39</f>
        <v>5.925960007815176</v>
      </c>
      <c r="AI243" s="847"/>
      <c r="AJ243" s="847"/>
      <c r="AK243" s="847"/>
      <c r="AL243" s="847"/>
      <c r="AM243" s="847"/>
      <c r="AN243" s="847"/>
      <c r="AO243" s="846" t="str">
        <f>'6. HC (GC)'!U39</f>
        <v/>
      </c>
      <c r="AP243" s="846">
        <v>209</v>
      </c>
      <c r="AQ243" s="846" t="str">
        <f>Settings!$A$1</f>
        <v>V2</v>
      </c>
    </row>
    <row r="244" spans="1:43" x14ac:dyDescent="0.2">
      <c r="A244" s="439">
        <f>'Input-FX Rates'!$C$4</f>
        <v>242</v>
      </c>
      <c r="B244" s="439" t="str">
        <f>'Input-FX Rates'!$B$4</f>
        <v>ICH Icheon (242)</v>
      </c>
      <c r="C244" s="439">
        <f>'Input-FX Rates'!$C$6</f>
        <v>750</v>
      </c>
      <c r="D244" s="439" t="str">
        <f>'Input-FX Rates'!$B$6</f>
        <v>750 BU Sensorics &amp; Controls</v>
      </c>
      <c r="E244" s="439" t="str">
        <f>'Input-FX Rates'!$C$5</f>
        <v>7521 &amp; 7522</v>
      </c>
      <c r="F244" s="439" t="str">
        <f>'Input-FX Rates'!$B$5</f>
        <v>7521 &amp; 7522 PL Mechatronic Sensors (&amp; Electrification)</v>
      </c>
      <c r="G244" s="439" t="s">
        <v>1480</v>
      </c>
      <c r="H244" s="439" t="s">
        <v>655</v>
      </c>
      <c r="I244" s="524">
        <f>'7. BS-Key Figures (GC)'!C8</f>
        <v>6430.0853443020487</v>
      </c>
      <c r="J244" s="524">
        <f>'7. BS-Key Figures (GC)'!D8</f>
        <v>12347.858759969902</v>
      </c>
      <c r="K244" s="523"/>
      <c r="L244" s="524">
        <f>'7. BS-Key Figures (GC)'!E8</f>
        <v>15111.540802308424</v>
      </c>
      <c r="M244" s="523"/>
      <c r="N244" s="523"/>
      <c r="O244" s="524">
        <f>'7. BS-Key Figures (GC)'!S8</f>
        <v>14187.261937931033</v>
      </c>
      <c r="P244" s="524">
        <f>'7. BS-Key Figures (GC)'!R8</f>
        <v>0</v>
      </c>
      <c r="Q244" s="523"/>
      <c r="R244" s="523"/>
      <c r="S244" s="523"/>
      <c r="T244" s="523"/>
      <c r="U244" s="523"/>
      <c r="V244" s="523"/>
      <c r="W244" s="524">
        <f>'7. BS-Key Figures (GC)'!F8</f>
        <v>1199.7445020689654</v>
      </c>
      <c r="X244" s="524">
        <f>'7. BS-Key Figures (GC)'!G8</f>
        <v>1199.7532220689654</v>
      </c>
      <c r="Y244" s="524">
        <f>'7. BS-Key Figures (GC)'!H8</f>
        <v>1169.4966724137932</v>
      </c>
      <c r="Z244" s="524">
        <f>'7. BS-Key Figures (GC)'!I8</f>
        <v>1199.7532220689654</v>
      </c>
      <c r="AA244" s="524">
        <f>'7. BS-Key Figures (GC)'!J8</f>
        <v>1230.0380220689656</v>
      </c>
      <c r="AB244" s="524">
        <f>'7. BS-Key Figures (GC)'!K8</f>
        <v>1147.8775020689654</v>
      </c>
      <c r="AC244" s="524">
        <f>'7. BS-Key Figures (GC)'!L8</f>
        <v>1240.072312413793</v>
      </c>
      <c r="AD244" s="524">
        <f>'7. BS-Key Figures (GC)'!M8</f>
        <v>1209.2798220689656</v>
      </c>
      <c r="AE244" s="524">
        <f>'7. BS-Key Figures (GC)'!N8</f>
        <v>1086.3583020689655</v>
      </c>
      <c r="AF244" s="524">
        <f>'7. BS-Key Figures (GC)'!O8</f>
        <v>1240.012432413793</v>
      </c>
      <c r="AG244" s="524">
        <f>'7. BS-Key Figures (GC)'!P8</f>
        <v>1209.2595420689654</v>
      </c>
      <c r="AH244" s="524">
        <f>'7. BS-Key Figures (GC)'!Q8</f>
        <v>1055.6163841379309</v>
      </c>
      <c r="AI244" s="523"/>
      <c r="AJ244" s="523"/>
      <c r="AK244" s="523"/>
      <c r="AL244" s="523"/>
      <c r="AM244" s="523"/>
      <c r="AN244" s="523"/>
      <c r="AO244" s="439" t="str">
        <f>'7. BS-Key Figures (GC)'!U8</f>
        <v/>
      </c>
      <c r="AP244" s="439">
        <v>210</v>
      </c>
      <c r="AQ244" s="439" t="str">
        <f>Settings!$A$1</f>
        <v>V2</v>
      </c>
    </row>
    <row r="245" spans="1:43" x14ac:dyDescent="0.2">
      <c r="A245" s="439">
        <f>'Input-FX Rates'!$C$4</f>
        <v>242</v>
      </c>
      <c r="B245" s="439" t="str">
        <f>'Input-FX Rates'!$B$4</f>
        <v>ICH Icheon (242)</v>
      </c>
      <c r="C245" s="439">
        <f>'Input-FX Rates'!$C$6</f>
        <v>750</v>
      </c>
      <c r="D245" s="439" t="str">
        <f>'Input-FX Rates'!$B$6</f>
        <v>750 BU Sensorics &amp; Controls</v>
      </c>
      <c r="E245" s="439" t="str">
        <f>'Input-FX Rates'!$C$5</f>
        <v>7521 &amp; 7522</v>
      </c>
      <c r="F245" s="439" t="str">
        <f>'Input-FX Rates'!$B$5</f>
        <v>7521 &amp; 7522 PL Mechatronic Sensors (&amp; Electrification)</v>
      </c>
      <c r="G245" s="439" t="s">
        <v>1480</v>
      </c>
      <c r="H245" s="439" t="s">
        <v>657</v>
      </c>
      <c r="I245" s="524">
        <f>'7. BS-Key Figures (GC)'!C9</f>
        <v>6169.0247535245871</v>
      </c>
      <c r="J245" s="524">
        <f>'7. BS-Key Figures (GC)'!D9</f>
        <v>12347.858759969902</v>
      </c>
      <c r="K245" s="523"/>
      <c r="L245" s="524">
        <f>'7. BS-Key Figures (GC)'!E9</f>
        <v>15074.72579116208</v>
      </c>
      <c r="M245" s="523"/>
      <c r="N245" s="523"/>
      <c r="O245" s="524">
        <f>'7. BS-Key Figures (GC)'!S9</f>
        <v>14187.261937931033</v>
      </c>
      <c r="P245" s="523"/>
      <c r="Q245" s="523"/>
      <c r="R245" s="523"/>
      <c r="S245" s="523"/>
      <c r="T245" s="523"/>
      <c r="U245" s="523"/>
      <c r="V245" s="523"/>
      <c r="W245" s="524">
        <f>'7. BS-Key Figures (GC)'!F9</f>
        <v>1199.7445020689654</v>
      </c>
      <c r="X245" s="524">
        <f>'7. BS-Key Figures (GC)'!G9</f>
        <v>1199.7532220689654</v>
      </c>
      <c r="Y245" s="524">
        <f>'7. BS-Key Figures (GC)'!H9</f>
        <v>1169.4966724137932</v>
      </c>
      <c r="Z245" s="524">
        <f>'7. BS-Key Figures (GC)'!I9</f>
        <v>1199.7532220689654</v>
      </c>
      <c r="AA245" s="524">
        <f>'7. BS-Key Figures (GC)'!J9</f>
        <v>1230.0380220689656</v>
      </c>
      <c r="AB245" s="524">
        <f>'7. BS-Key Figures (GC)'!K9</f>
        <v>1147.8775020689654</v>
      </c>
      <c r="AC245" s="524">
        <f>'7. BS-Key Figures (GC)'!L9</f>
        <v>1240.072312413793</v>
      </c>
      <c r="AD245" s="524">
        <f>'7. BS-Key Figures (GC)'!M9</f>
        <v>1209.2798220689656</v>
      </c>
      <c r="AE245" s="524">
        <f>'7. BS-Key Figures (GC)'!N9</f>
        <v>1086.3583020689655</v>
      </c>
      <c r="AF245" s="524">
        <f>'7. BS-Key Figures (GC)'!O9</f>
        <v>1240.012432413793</v>
      </c>
      <c r="AG245" s="524">
        <f>'7. BS-Key Figures (GC)'!P9</f>
        <v>1209.2595420689654</v>
      </c>
      <c r="AH245" s="524">
        <f>'7. BS-Key Figures (GC)'!Q9</f>
        <v>1055.6163841379309</v>
      </c>
      <c r="AI245" s="523"/>
      <c r="AJ245" s="523"/>
      <c r="AK245" s="523"/>
      <c r="AL245" s="523"/>
      <c r="AM245" s="523"/>
      <c r="AN245" s="523"/>
      <c r="AO245" s="439" t="str">
        <f>'7. BS-Key Figures (GC)'!U9</f>
        <v/>
      </c>
      <c r="AP245" s="439">
        <v>211</v>
      </c>
      <c r="AQ245" s="439" t="str">
        <f>Settings!$A$1</f>
        <v>V2</v>
      </c>
    </row>
    <row r="246" spans="1:43" x14ac:dyDescent="0.2">
      <c r="A246" s="439">
        <f>'Input-FX Rates'!$C$4</f>
        <v>242</v>
      </c>
      <c r="B246" s="439" t="str">
        <f>'Input-FX Rates'!$B$4</f>
        <v>ICH Icheon (242)</v>
      </c>
      <c r="C246" s="439">
        <f>'Input-FX Rates'!$C$6</f>
        <v>750</v>
      </c>
      <c r="D246" s="439" t="str">
        <f>'Input-FX Rates'!$B$6</f>
        <v>750 BU Sensorics &amp; Controls</v>
      </c>
      <c r="E246" s="439" t="str">
        <f>'Input-FX Rates'!$C$5</f>
        <v>7521 &amp; 7522</v>
      </c>
      <c r="F246" s="439" t="str">
        <f>'Input-FX Rates'!$B$5</f>
        <v>7521 &amp; 7522 PL Mechatronic Sensors (&amp; Electrification)</v>
      </c>
      <c r="G246" s="439" t="s">
        <v>1480</v>
      </c>
      <c r="H246" s="439" t="s">
        <v>659</v>
      </c>
      <c r="I246" s="524">
        <f>'7. BS-Key Figures (GC)'!C10</f>
        <v>815.56696487001011</v>
      </c>
      <c r="J246" s="524">
        <f>'7. BS-Key Figures (GC)'!D10</f>
        <v>489.13230022573367</v>
      </c>
      <c r="K246" s="523"/>
      <c r="L246" s="524">
        <f>'7. BS-Key Figures (GC)'!E10</f>
        <v>2400.8732358729267</v>
      </c>
      <c r="M246" s="523"/>
      <c r="N246" s="523"/>
      <c r="O246" s="524">
        <f>'7. BS-Key Figures (GC)'!S10</f>
        <v>827.41461724137935</v>
      </c>
      <c r="P246" s="523"/>
      <c r="Q246" s="523"/>
      <c r="R246" s="523"/>
      <c r="S246" s="523"/>
      <c r="T246" s="523"/>
      <c r="U246" s="523"/>
      <c r="V246" s="523"/>
      <c r="W246" s="524">
        <f>'7. BS-Key Figures (GC)'!F10</f>
        <v>2031.3187137931034</v>
      </c>
      <c r="X246" s="524">
        <f>'7. BS-Key Figures (GC)'!G10</f>
        <v>2041.7058551724135</v>
      </c>
      <c r="Y246" s="524">
        <f>'7. BS-Key Figures (GC)'!H10</f>
        <v>1850.0672972413793</v>
      </c>
      <c r="Z246" s="524">
        <f>'7. BS-Key Figures (GC)'!I10</f>
        <v>1676.5309634482758</v>
      </c>
      <c r="AA246" s="524">
        <f>'7. BS-Key Figures (GC)'!J10</f>
        <v>1567.9267986206896</v>
      </c>
      <c r="AB246" s="524">
        <f>'7. BS-Key Figures (GC)'!K10</f>
        <v>1485.8774455172415</v>
      </c>
      <c r="AC246" s="524">
        <f>'7. BS-Key Figures (GC)'!L10</f>
        <v>1385.7226689655174</v>
      </c>
      <c r="AD246" s="524">
        <f>'7. BS-Key Figures (GC)'!M10</f>
        <v>1262.4191586206896</v>
      </c>
      <c r="AE246" s="524">
        <f>'7. BS-Key Figures (GC)'!N10</f>
        <v>1057.7263489655172</v>
      </c>
      <c r="AF246" s="524">
        <f>'7. BS-Key Figures (GC)'!O10</f>
        <v>979.19375172413788</v>
      </c>
      <c r="AG246" s="524">
        <f>'7. BS-Key Figures (GC)'!P10</f>
        <v>970.26157517241381</v>
      </c>
      <c r="AH246" s="524">
        <f>'7. BS-Key Figures (GC)'!Q10</f>
        <v>827.41461724137935</v>
      </c>
      <c r="AI246" s="523"/>
      <c r="AJ246" s="523"/>
      <c r="AK246" s="523"/>
      <c r="AL246" s="523"/>
      <c r="AM246" s="523"/>
      <c r="AN246" s="523"/>
      <c r="AO246" s="439" t="str">
        <f>'7. BS-Key Figures (GC)'!U10</f>
        <v/>
      </c>
      <c r="AP246" s="439">
        <v>212</v>
      </c>
      <c r="AQ246" s="439" t="str">
        <f>Settings!$A$1</f>
        <v>V2</v>
      </c>
    </row>
    <row r="247" spans="1:43" x14ac:dyDescent="0.2">
      <c r="A247" s="439">
        <f>'Input-FX Rates'!$C$4</f>
        <v>242</v>
      </c>
      <c r="B247" s="439" t="str">
        <f>'Input-FX Rates'!$B$4</f>
        <v>ICH Icheon (242)</v>
      </c>
      <c r="C247" s="439">
        <f>'Input-FX Rates'!$C$6</f>
        <v>750</v>
      </c>
      <c r="D247" s="439" t="str">
        <f>'Input-FX Rates'!$B$6</f>
        <v>750 BU Sensorics &amp; Controls</v>
      </c>
      <c r="E247" s="439" t="str">
        <f>'Input-FX Rates'!$C$5</f>
        <v>7521 &amp; 7522</v>
      </c>
      <c r="F247" s="439" t="str">
        <f>'Input-FX Rates'!$B$5</f>
        <v>7521 &amp; 7522 PL Mechatronic Sensors (&amp; Electrification)</v>
      </c>
      <c r="G247" s="439" t="s">
        <v>1480</v>
      </c>
      <c r="H247" s="439" t="s">
        <v>661</v>
      </c>
      <c r="I247" s="524">
        <f>'7. BS-Key Figures (GC)'!C11</f>
        <v>330.8036037241954</v>
      </c>
      <c r="J247" s="524">
        <f>'7. BS-Key Figures (GC)'!D11</f>
        <v>207.94261399548532</v>
      </c>
      <c r="K247" s="523"/>
      <c r="L247" s="524">
        <f>'7. BS-Key Figures (GC)'!E11</f>
        <v>264.41777481023337</v>
      </c>
      <c r="M247" s="523"/>
      <c r="N247" s="523"/>
      <c r="O247" s="524">
        <f>'7. BS-Key Figures (GC)'!S11</f>
        <v>131.01941034482758</v>
      </c>
      <c r="P247" s="523"/>
      <c r="Q247" s="523"/>
      <c r="R247" s="523"/>
      <c r="S247" s="523"/>
      <c r="T247" s="523"/>
      <c r="U247" s="523"/>
      <c r="V247" s="523"/>
      <c r="W247" s="524">
        <f>'7. BS-Key Figures (GC)'!F11</f>
        <v>214.03513448275862</v>
      </c>
      <c r="X247" s="524">
        <f>'7. BS-Key Figures (GC)'!G11</f>
        <v>226.19405517241378</v>
      </c>
      <c r="Y247" s="524">
        <f>'7. BS-Key Figures (GC)'!H11</f>
        <v>210.05170827586207</v>
      </c>
      <c r="Z247" s="524">
        <f>'7. BS-Key Figures (GC)'!I11</f>
        <v>196.64125793103449</v>
      </c>
      <c r="AA247" s="524">
        <f>'7. BS-Key Figures (GC)'!J11</f>
        <v>192.42257448275862</v>
      </c>
      <c r="AB247" s="524">
        <f>'7. BS-Key Figures (GC)'!K11</f>
        <v>182.97200000000001</v>
      </c>
      <c r="AC247" s="524">
        <f>'7. BS-Key Figures (GC)'!L11</f>
        <v>169.94002620689656</v>
      </c>
      <c r="AD247" s="524">
        <f>'7. BS-Key Figures (GC)'!M11</f>
        <v>164.99745034482763</v>
      </c>
      <c r="AE247" s="524">
        <f>'7. BS-Key Figures (GC)'!N11</f>
        <v>153.57709931034486</v>
      </c>
      <c r="AF247" s="524">
        <f>'7. BS-Key Figures (GC)'!O11</f>
        <v>154.36161379310349</v>
      </c>
      <c r="AG247" s="524">
        <f>'7. BS-Key Figures (GC)'!P11</f>
        <v>141.66715517241383</v>
      </c>
      <c r="AH247" s="524">
        <f>'7. BS-Key Figures (GC)'!Q11</f>
        <v>131.01941034482761</v>
      </c>
      <c r="AI247" s="523"/>
      <c r="AJ247" s="523"/>
      <c r="AK247" s="523"/>
      <c r="AL247" s="523"/>
      <c r="AM247" s="523"/>
      <c r="AN247" s="523"/>
      <c r="AO247" s="439" t="str">
        <f>'7. BS-Key Figures (GC)'!U11</f>
        <v/>
      </c>
      <c r="AP247" s="439">
        <v>213</v>
      </c>
      <c r="AQ247" s="439" t="str">
        <f>Settings!$A$1</f>
        <v>V2</v>
      </c>
    </row>
    <row r="248" spans="1:43" x14ac:dyDescent="0.2">
      <c r="A248" s="439">
        <f>'Input-FX Rates'!$C$4</f>
        <v>242</v>
      </c>
      <c r="B248" s="439" t="str">
        <f>'Input-FX Rates'!$B$4</f>
        <v>ICH Icheon (242)</v>
      </c>
      <c r="C248" s="439">
        <f>'Input-FX Rates'!$C$6</f>
        <v>750</v>
      </c>
      <c r="D248" s="439" t="str">
        <f>'Input-FX Rates'!$B$6</f>
        <v>750 BU Sensorics &amp; Controls</v>
      </c>
      <c r="E248" s="439" t="str">
        <f>'Input-FX Rates'!$C$5</f>
        <v>7521 &amp; 7522</v>
      </c>
      <c r="F248" s="439" t="str">
        <f>'Input-FX Rates'!$B$5</f>
        <v>7521 &amp; 7522 PL Mechatronic Sensors (&amp; Electrification)</v>
      </c>
      <c r="G248" s="439" t="s">
        <v>1480</v>
      </c>
      <c r="H248" s="439" t="s">
        <v>663</v>
      </c>
      <c r="I248" s="524">
        <f>'7. BS-Key Figures (GC)'!C12</f>
        <v>0</v>
      </c>
      <c r="J248" s="524">
        <f>'7. BS-Key Figures (GC)'!D12</f>
        <v>88.805932279909712</v>
      </c>
      <c r="K248" s="523"/>
      <c r="L248" s="524">
        <f>'7. BS-Key Figures (GC)'!E12</f>
        <v>89.479779308405966</v>
      </c>
      <c r="M248" s="523"/>
      <c r="N248" s="523"/>
      <c r="O248" s="524">
        <f>'7. BS-Key Figures (GC)'!S12</f>
        <v>68.696586206896555</v>
      </c>
      <c r="P248" s="523"/>
      <c r="Q248" s="523"/>
      <c r="R248" s="523"/>
      <c r="S248" s="523"/>
      <c r="T248" s="523"/>
      <c r="U248" s="523"/>
      <c r="V248" s="523"/>
      <c r="W248" s="524">
        <f>'7. BS-Key Figures (GC)'!F12</f>
        <v>78.766337931034485</v>
      </c>
      <c r="X248" s="524">
        <f>'7. BS-Key Figures (GC)'!G12</f>
        <v>118.15042068965516</v>
      </c>
      <c r="Y248" s="524">
        <f>'7. BS-Key Figures (GC)'!H12</f>
        <v>95.816278620689644</v>
      </c>
      <c r="Z248" s="524">
        <f>'7. BS-Key Figures (GC)'!I12</f>
        <v>78.766946896551715</v>
      </c>
      <c r="AA248" s="524">
        <f>'7. BS-Key Figures (GC)'!J12</f>
        <v>80.882844827586197</v>
      </c>
      <c r="AB248" s="524">
        <f>'7. BS-Key Figures (GC)'!K12</f>
        <v>93.928204137931019</v>
      </c>
      <c r="AC248" s="524">
        <f>'7. BS-Key Figures (GC)'!L12</f>
        <v>101.97988413793101</v>
      </c>
      <c r="AD248" s="524">
        <f>'7. BS-Key Figures (GC)'!M12</f>
        <v>99.290673793103423</v>
      </c>
      <c r="AE248" s="524">
        <f>'7. BS-Key Figures (GC)'!N12</f>
        <v>70.844422068965486</v>
      </c>
      <c r="AF248" s="524">
        <f>'7. BS-Key Figures (GC)'!O12</f>
        <v>81.579724137930995</v>
      </c>
      <c r="AG248" s="524">
        <f>'7. BS-Key Figures (GC)'!P12</f>
        <v>99.288902758620665</v>
      </c>
      <c r="AH248" s="524">
        <f>'7. BS-Key Figures (GC)'!Q12</f>
        <v>68.696586206896527</v>
      </c>
      <c r="AI248" s="523"/>
      <c r="AJ248" s="523"/>
      <c r="AK248" s="523"/>
      <c r="AL248" s="523"/>
      <c r="AM248" s="523"/>
      <c r="AN248" s="523"/>
      <c r="AO248" s="439" t="str">
        <f>'7. BS-Key Figures (GC)'!U12</f>
        <v/>
      </c>
      <c r="AP248" s="439">
        <v>214</v>
      </c>
      <c r="AQ248" s="439" t="str">
        <f>Settings!$A$1</f>
        <v>V2</v>
      </c>
    </row>
    <row r="249" spans="1:43" x14ac:dyDescent="0.2">
      <c r="A249" s="439">
        <f>'Input-FX Rates'!$C$4</f>
        <v>242</v>
      </c>
      <c r="B249" s="439" t="str">
        <f>'Input-FX Rates'!$B$4</f>
        <v>ICH Icheon (242)</v>
      </c>
      <c r="C249" s="439">
        <f>'Input-FX Rates'!$C$6</f>
        <v>750</v>
      </c>
      <c r="D249" s="439" t="str">
        <f>'Input-FX Rates'!$B$6</f>
        <v>750 BU Sensorics &amp; Controls</v>
      </c>
      <c r="E249" s="439" t="str">
        <f>'Input-FX Rates'!$C$5</f>
        <v>7521 &amp; 7522</v>
      </c>
      <c r="F249" s="439" t="str">
        <f>'Input-FX Rates'!$B$5</f>
        <v>7521 &amp; 7522 PL Mechatronic Sensors (&amp; Electrification)</v>
      </c>
      <c r="G249" s="439" t="s">
        <v>1480</v>
      </c>
      <c r="H249" s="439" t="s">
        <v>665</v>
      </c>
      <c r="I249" s="524">
        <f>'7. BS-Key Figures (GC)'!C13</f>
        <v>484.76336114581471</v>
      </c>
      <c r="J249" s="524">
        <f>'7. BS-Key Figures (GC)'!D13</f>
        <v>192.38375395033859</v>
      </c>
      <c r="K249" s="523"/>
      <c r="L249" s="524">
        <f>'7. BS-Key Figures (GC)'!E13</f>
        <v>2046.9756817542873</v>
      </c>
      <c r="M249" s="523"/>
      <c r="N249" s="523"/>
      <c r="O249" s="524">
        <f>'7. BS-Key Figures (GC)'!S13</f>
        <v>627.69862068965517</v>
      </c>
      <c r="P249" s="523"/>
      <c r="Q249" s="523"/>
      <c r="R249" s="523"/>
      <c r="S249" s="523"/>
      <c r="T249" s="523"/>
      <c r="U249" s="523"/>
      <c r="V249" s="523"/>
      <c r="W249" s="524">
        <f>'7. BS-Key Figures (GC)'!F13</f>
        <v>1738.5172413793102</v>
      </c>
      <c r="X249" s="524">
        <f>'7. BS-Key Figures (GC)'!G13</f>
        <v>1697.3613793103448</v>
      </c>
      <c r="Y249" s="524">
        <f>'7. BS-Key Figures (GC)'!H13</f>
        <v>1544.1993103448276</v>
      </c>
      <c r="Z249" s="524">
        <f>'7. BS-Key Figures (GC)'!I13</f>
        <v>1401.1227586206896</v>
      </c>
      <c r="AA249" s="524">
        <f>'7. BS-Key Figures (GC)'!J13</f>
        <v>1294.6213793103448</v>
      </c>
      <c r="AB249" s="524">
        <f>'7. BS-Key Figures (GC)'!K13</f>
        <v>1208.9772413793103</v>
      </c>
      <c r="AC249" s="524">
        <f>'7. BS-Key Figures (GC)'!L13</f>
        <v>1113.8027586206897</v>
      </c>
      <c r="AD249" s="524">
        <f>'7. BS-Key Figures (GC)'!M13</f>
        <v>998.13103448275865</v>
      </c>
      <c r="AE249" s="524">
        <f>'7. BS-Key Figures (GC)'!N13</f>
        <v>833.3048275862069</v>
      </c>
      <c r="AF249" s="524">
        <f>'7. BS-Key Figures (GC)'!O13</f>
        <v>743.25241379310341</v>
      </c>
      <c r="AG249" s="524">
        <f>'7. BS-Key Figures (GC)'!P13</f>
        <v>729.30551724137933</v>
      </c>
      <c r="AH249" s="524">
        <f>'7. BS-Key Figures (GC)'!Q13</f>
        <v>627.69862068965517</v>
      </c>
      <c r="AI249" s="523"/>
      <c r="AJ249" s="523"/>
      <c r="AK249" s="523"/>
      <c r="AL249" s="523"/>
      <c r="AM249" s="523"/>
      <c r="AN249" s="523"/>
      <c r="AO249" s="439" t="str">
        <f>'7. BS-Key Figures (GC)'!U13</f>
        <v/>
      </c>
      <c r="AP249" s="439">
        <v>215</v>
      </c>
      <c r="AQ249" s="439" t="str">
        <f>Settings!$A$1</f>
        <v>V2</v>
      </c>
    </row>
    <row r="250" spans="1:43" x14ac:dyDescent="0.2">
      <c r="A250" s="439">
        <f>'Input-FX Rates'!$C$4</f>
        <v>242</v>
      </c>
      <c r="B250" s="439" t="str">
        <f>'Input-FX Rates'!$B$4</f>
        <v>ICH Icheon (242)</v>
      </c>
      <c r="C250" s="439">
        <f>'Input-FX Rates'!$C$6</f>
        <v>750</v>
      </c>
      <c r="D250" s="439" t="str">
        <f>'Input-FX Rates'!$B$6</f>
        <v>750 BU Sensorics &amp; Controls</v>
      </c>
      <c r="E250" s="439" t="str">
        <f>'Input-FX Rates'!$C$5</f>
        <v>7521 &amp; 7522</v>
      </c>
      <c r="F250" s="439" t="str">
        <f>'Input-FX Rates'!$B$5</f>
        <v>7521 &amp; 7522 PL Mechatronic Sensors (&amp; Electrification)</v>
      </c>
      <c r="G250" s="439" t="s">
        <v>1480</v>
      </c>
      <c r="H250" s="439" t="s">
        <v>666</v>
      </c>
      <c r="I250" s="524">
        <f>'7. BS-Key Figures (GC)'!C14</f>
        <v>7.8841905340377707</v>
      </c>
      <c r="J250" s="524">
        <f>'7. BS-Key Figures (GC)'!D14</f>
        <v>25.244414965585769</v>
      </c>
      <c r="K250" s="523"/>
      <c r="L250" s="524">
        <f>'7. BS-Key Figures (GC)'!E14</f>
        <v>6.294185205831603</v>
      </c>
      <c r="M250" s="523"/>
      <c r="N250" s="523"/>
      <c r="O250" s="524">
        <f>'7. BS-Key Figures (GC)'!S14</f>
        <v>17.146496620076295</v>
      </c>
      <c r="P250" s="523"/>
      <c r="Q250" s="523"/>
      <c r="R250" s="523"/>
      <c r="S250" s="523"/>
      <c r="T250" s="523"/>
      <c r="U250" s="523"/>
      <c r="V250" s="523"/>
      <c r="W250" s="524">
        <f>'7. BS-Key Figures (GC)'!F14</f>
        <v>0</v>
      </c>
      <c r="X250" s="524">
        <f>'7. BS-Key Figures (GC)'!G14</f>
        <v>0</v>
      </c>
      <c r="Y250" s="524">
        <f>'7. BS-Key Figures (GC)'!H14</f>
        <v>0</v>
      </c>
      <c r="Z250" s="524">
        <f>'7. BS-Key Figures (GC)'!I14</f>
        <v>0</v>
      </c>
      <c r="AA250" s="524">
        <f>'7. BS-Key Figures (GC)'!J14</f>
        <v>0</v>
      </c>
      <c r="AB250" s="524">
        <f>'7. BS-Key Figures (GC)'!K14</f>
        <v>0</v>
      </c>
      <c r="AC250" s="524">
        <f>'7. BS-Key Figures (GC)'!L14</f>
        <v>0</v>
      </c>
      <c r="AD250" s="524">
        <f>'7. BS-Key Figures (GC)'!M14</f>
        <v>0</v>
      </c>
      <c r="AE250" s="524">
        <f>'7. BS-Key Figures (GC)'!N14</f>
        <v>0</v>
      </c>
      <c r="AF250" s="524">
        <f>'7. BS-Key Figures (GC)'!O14</f>
        <v>0</v>
      </c>
      <c r="AG250" s="524">
        <f>'7. BS-Key Figures (GC)'!P14</f>
        <v>0</v>
      </c>
      <c r="AH250" s="524">
        <f>'7. BS-Key Figures (GC)'!Q14</f>
        <v>17.146496620076295</v>
      </c>
      <c r="AI250" s="523"/>
      <c r="AJ250" s="523"/>
      <c r="AK250" s="523"/>
      <c r="AL250" s="523"/>
      <c r="AM250" s="523"/>
      <c r="AN250" s="523"/>
      <c r="AO250" s="439" t="str">
        <f>'7. BS-Key Figures (GC)'!U14</f>
        <v/>
      </c>
      <c r="AP250" s="439">
        <v>216</v>
      </c>
      <c r="AQ250" s="439" t="str">
        <f>Settings!$A$1</f>
        <v>V2</v>
      </c>
    </row>
    <row r="251" spans="1:43" x14ac:dyDescent="0.2">
      <c r="A251" s="439">
        <f>'Input-FX Rates'!$C$4</f>
        <v>242</v>
      </c>
      <c r="B251" s="439" t="str">
        <f>'Input-FX Rates'!$B$4</f>
        <v>ICH Icheon (242)</v>
      </c>
      <c r="C251" s="439">
        <f>'Input-FX Rates'!$C$6</f>
        <v>750</v>
      </c>
      <c r="D251" s="439" t="str">
        <f>'Input-FX Rates'!$B$6</f>
        <v>750 BU Sensorics &amp; Controls</v>
      </c>
      <c r="E251" s="439" t="str">
        <f>'Input-FX Rates'!$C$5</f>
        <v>7521 &amp; 7522</v>
      </c>
      <c r="F251" s="439" t="str">
        <f>'Input-FX Rates'!$B$5</f>
        <v>7521 &amp; 7522 PL Mechatronic Sensors (&amp; Electrification)</v>
      </c>
      <c r="G251" s="439" t="s">
        <v>1480</v>
      </c>
      <c r="H251" s="439" t="s">
        <v>667</v>
      </c>
      <c r="I251" s="524">
        <f>'7. BS-Key Figures (GC)'!C15</f>
        <v>21.7</v>
      </c>
      <c r="J251" s="524">
        <f>'7. BS-Key Figures (GC)'!D15</f>
        <v>24.7</v>
      </c>
      <c r="K251" s="523"/>
      <c r="L251" s="524">
        <f>'7. BS-Key Figures (GC)'!E15</f>
        <v>22.9</v>
      </c>
      <c r="M251" s="523"/>
      <c r="N251" s="523"/>
      <c r="O251" s="524">
        <f>'7. BS-Key Figures (GC)'!S15</f>
        <v>9.9349616044776425</v>
      </c>
      <c r="P251" s="524">
        <f>'7. BS-Key Figures (GC)'!R15</f>
        <v>0</v>
      </c>
      <c r="Q251" s="523"/>
      <c r="R251" s="523"/>
      <c r="S251" s="523"/>
      <c r="T251" s="523"/>
      <c r="U251" s="523"/>
      <c r="V251" s="523"/>
      <c r="W251" s="524">
        <f>'7. BS-Key Figures (GC)'!F15</f>
        <v>0</v>
      </c>
      <c r="X251" s="524">
        <f>'7. BS-Key Figures (GC)'!G15</f>
        <v>0</v>
      </c>
      <c r="Y251" s="524">
        <f>'7. BS-Key Figures (GC)'!H15</f>
        <v>0</v>
      </c>
      <c r="Z251" s="524">
        <f>'7. BS-Key Figures (GC)'!I15</f>
        <v>0</v>
      </c>
      <c r="AA251" s="524">
        <f>'7. BS-Key Figures (GC)'!J15</f>
        <v>0</v>
      </c>
      <c r="AB251" s="524">
        <f>'7. BS-Key Figures (GC)'!K15</f>
        <v>0</v>
      </c>
      <c r="AC251" s="524">
        <f>'7. BS-Key Figures (GC)'!L15</f>
        <v>0</v>
      </c>
      <c r="AD251" s="524">
        <f>'7. BS-Key Figures (GC)'!M15</f>
        <v>0</v>
      </c>
      <c r="AE251" s="524">
        <f>'7. BS-Key Figures (GC)'!N15</f>
        <v>0</v>
      </c>
      <c r="AF251" s="524">
        <f>'7. BS-Key Figures (GC)'!O15</f>
        <v>0</v>
      </c>
      <c r="AG251" s="524">
        <f>'7. BS-Key Figures (GC)'!P15</f>
        <v>0</v>
      </c>
      <c r="AH251" s="524">
        <f>'7. BS-Key Figures (GC)'!Q15</f>
        <v>0</v>
      </c>
      <c r="AI251" s="523"/>
      <c r="AJ251" s="523"/>
      <c r="AK251" s="523"/>
      <c r="AL251" s="523"/>
      <c r="AM251" s="523"/>
      <c r="AN251" s="523"/>
      <c r="AO251" s="439" t="str">
        <f>'7. BS-Key Figures (GC)'!U15</f>
        <v/>
      </c>
      <c r="AP251" s="439">
        <v>217</v>
      </c>
      <c r="AQ251" s="439" t="str">
        <f>Settings!$A$1</f>
        <v>V2</v>
      </c>
    </row>
    <row r="252" spans="1:43" x14ac:dyDescent="0.2">
      <c r="A252" s="439">
        <f>'Input-FX Rates'!$C$4</f>
        <v>242</v>
      </c>
      <c r="B252" s="439" t="str">
        <f>'Input-FX Rates'!$B$4</f>
        <v>ICH Icheon (242)</v>
      </c>
      <c r="C252" s="439">
        <f>'Input-FX Rates'!$C$6</f>
        <v>750</v>
      </c>
      <c r="D252" s="439" t="str">
        <f>'Input-FX Rates'!$B$6</f>
        <v>750 BU Sensorics &amp; Controls</v>
      </c>
      <c r="E252" s="439" t="str">
        <f>'Input-FX Rates'!$C$5</f>
        <v>7521 &amp; 7522</v>
      </c>
      <c r="F252" s="439" t="str">
        <f>'Input-FX Rates'!$B$5</f>
        <v>7521 &amp; 7522 PL Mechatronic Sensors (&amp; Electrification)</v>
      </c>
      <c r="G252" s="439" t="s">
        <v>1480</v>
      </c>
      <c r="H252" s="439" t="s">
        <v>669</v>
      </c>
      <c r="I252" s="524">
        <f>'7. BS-Key Figures (GC)'!C16</f>
        <v>1826.3162740198702</v>
      </c>
      <c r="J252" s="524">
        <f>'7. BS-Key Figures (GC)'!D16</f>
        <v>1996.3589999999999</v>
      </c>
      <c r="K252" s="523"/>
      <c r="L252" s="524">
        <f>'7. BS-Key Figures (GC)'!E16</f>
        <v>2621.4207183019398</v>
      </c>
      <c r="M252" s="523"/>
      <c r="N252" s="523"/>
      <c r="O252" s="524">
        <f>'7. BS-Key Figures (GC)'!S16</f>
        <v>2337.7089668965518</v>
      </c>
      <c r="P252" s="523"/>
      <c r="Q252" s="523"/>
      <c r="R252" s="523"/>
      <c r="S252" s="523"/>
      <c r="T252" s="523"/>
      <c r="U252" s="523"/>
      <c r="V252" s="523"/>
      <c r="W252" s="524">
        <f>'7. BS-Key Figures (GC)'!F16</f>
        <v>2596.1994103448278</v>
      </c>
      <c r="X252" s="524">
        <f>'7. BS-Key Figures (GC)'!G16</f>
        <v>2587.7896799999999</v>
      </c>
      <c r="Y252" s="524">
        <f>'7. BS-Key Figures (GC)'!H16</f>
        <v>2680.1660144827583</v>
      </c>
      <c r="Z252" s="524">
        <f>'7. BS-Key Figures (GC)'!I16</f>
        <v>2526.8529786206896</v>
      </c>
      <c r="AA252" s="524">
        <f>'7. BS-Key Figures (GC)'!J16</f>
        <v>2515.1816041379311</v>
      </c>
      <c r="AB252" s="524">
        <f>'7. BS-Key Figures (GC)'!K16</f>
        <v>2464.878097931035</v>
      </c>
      <c r="AC252" s="524">
        <f>'7. BS-Key Figures (GC)'!L16</f>
        <v>2506.0380820689657</v>
      </c>
      <c r="AD252" s="524">
        <f>'7. BS-Key Figures (GC)'!M16</f>
        <v>2493.0870662068969</v>
      </c>
      <c r="AE252" s="524">
        <f>'7. BS-Key Figures (GC)'!N16</f>
        <v>2387.2968448275865</v>
      </c>
      <c r="AF252" s="524">
        <f>'7. BS-Key Figures (GC)'!O16</f>
        <v>2463.4374220689656</v>
      </c>
      <c r="AG252" s="524">
        <f>'7. BS-Key Figures (GC)'!P16</f>
        <v>2509.6100386206895</v>
      </c>
      <c r="AH252" s="524">
        <f>'7. BS-Key Figures (GC)'!Q16</f>
        <v>2337.7089668965518</v>
      </c>
      <c r="AI252" s="523"/>
      <c r="AJ252" s="523"/>
      <c r="AK252" s="523"/>
      <c r="AL252" s="523"/>
      <c r="AM252" s="523"/>
      <c r="AN252" s="523"/>
      <c r="AO252" s="439" t="str">
        <f>'7. BS-Key Figures (GC)'!U16</f>
        <v/>
      </c>
      <c r="AP252" s="439">
        <v>218</v>
      </c>
      <c r="AQ252" s="439" t="str">
        <f>Settings!$A$1</f>
        <v>V2</v>
      </c>
    </row>
    <row r="253" spans="1:43" x14ac:dyDescent="0.2">
      <c r="A253" s="439">
        <f>'Input-FX Rates'!$C$4</f>
        <v>242</v>
      </c>
      <c r="B253" s="439" t="str">
        <f>'Input-FX Rates'!$B$4</f>
        <v>ICH Icheon (242)</v>
      </c>
      <c r="C253" s="439">
        <f>'Input-FX Rates'!$C$6</f>
        <v>750</v>
      </c>
      <c r="D253" s="439" t="str">
        <f>'Input-FX Rates'!$B$6</f>
        <v>750 BU Sensorics &amp; Controls</v>
      </c>
      <c r="E253" s="439" t="str">
        <f>'Input-FX Rates'!$C$5</f>
        <v>7521 &amp; 7522</v>
      </c>
      <c r="F253" s="439" t="str">
        <f>'Input-FX Rates'!$B$5</f>
        <v>7521 &amp; 7522 PL Mechatronic Sensors (&amp; Electrification)</v>
      </c>
      <c r="G253" s="439" t="s">
        <v>1480</v>
      </c>
      <c r="H253" s="439" t="s">
        <v>673</v>
      </c>
      <c r="I253" s="524">
        <f>'7. BS-Key Figures (GC)'!C18</f>
        <v>1993.0015006841572</v>
      </c>
      <c r="J253" s="524">
        <f>'7. BS-Key Figures (GC)'!D18</f>
        <v>1232.6880684725356</v>
      </c>
      <c r="K253" s="523"/>
      <c r="L253" s="524">
        <f>'7. BS-Key Figures (GC)'!E18</f>
        <v>1263.1288037672196</v>
      </c>
      <c r="M253" s="523"/>
      <c r="N253" s="523"/>
      <c r="O253" s="524">
        <f>'7. BS-Key Figures (GC)'!S18</f>
        <v>1779.258492413793</v>
      </c>
      <c r="P253" s="523"/>
      <c r="Q253" s="523"/>
      <c r="R253" s="523"/>
      <c r="S253" s="523"/>
      <c r="T253" s="523"/>
      <c r="U253" s="523"/>
      <c r="V253" s="523"/>
      <c r="W253" s="524">
        <f>'7. BS-Key Figures (GC)'!F18</f>
        <v>1437.1236103448275</v>
      </c>
      <c r="X253" s="524">
        <f>'7. BS-Key Figures (GC)'!G18</f>
        <v>1555.3452827586204</v>
      </c>
      <c r="Y253" s="524">
        <f>'7. BS-Key Figures (GC)'!H18</f>
        <v>1787.9932875862066</v>
      </c>
      <c r="Z253" s="524">
        <f>'7. BS-Key Figures (GC)'!I18</f>
        <v>1862.7366827586204</v>
      </c>
      <c r="AA253" s="524">
        <f>'7. BS-Key Figures (GC)'!J18</f>
        <v>1841.4629786206895</v>
      </c>
      <c r="AB253" s="524">
        <f>'7. BS-Key Figures (GC)'!K18</f>
        <v>1827.8813724137929</v>
      </c>
      <c r="AC253" s="524">
        <f>'7. BS-Key Figures (GC)'!L18</f>
        <v>1838.8266275862068</v>
      </c>
      <c r="AD253" s="524">
        <f>'7. BS-Key Figures (GC)'!M18</f>
        <v>2060.1161379310342</v>
      </c>
      <c r="AE253" s="524">
        <f>'7. BS-Key Figures (GC)'!N18</f>
        <v>2094.8523751724138</v>
      </c>
      <c r="AF253" s="524">
        <f>'7. BS-Key Figures (GC)'!O18</f>
        <v>2122.0192448275866</v>
      </c>
      <c r="AG253" s="524">
        <f>'7. BS-Key Figures (GC)'!P18</f>
        <v>2079.7766179310347</v>
      </c>
      <c r="AH253" s="524">
        <f>'7. BS-Key Figures (GC)'!Q18</f>
        <v>1779.2584924137932</v>
      </c>
      <c r="AI253" s="523"/>
      <c r="AJ253" s="523"/>
      <c r="AK253" s="523"/>
      <c r="AL253" s="523"/>
      <c r="AM253" s="523"/>
      <c r="AN253" s="523"/>
      <c r="AO253" s="439" t="str">
        <f>'7. BS-Key Figures (GC)'!U18</f>
        <v/>
      </c>
      <c r="AP253" s="439">
        <v>219</v>
      </c>
      <c r="AQ253" s="439" t="str">
        <f>Settings!$A$1</f>
        <v>V2</v>
      </c>
    </row>
    <row r="254" spans="1:43" x14ac:dyDescent="0.2">
      <c r="A254" s="439">
        <f>'Input-FX Rates'!$C$4</f>
        <v>242</v>
      </c>
      <c r="B254" s="439" t="str">
        <f>'Input-FX Rates'!$B$4</f>
        <v>ICH Icheon (242)</v>
      </c>
      <c r="C254" s="439">
        <f>'Input-FX Rates'!$C$6</f>
        <v>750</v>
      </c>
      <c r="D254" s="439" t="str">
        <f>'Input-FX Rates'!$B$6</f>
        <v>750 BU Sensorics &amp; Controls</v>
      </c>
      <c r="E254" s="439" t="str">
        <f>'Input-FX Rates'!$C$5</f>
        <v>7521 &amp; 7522</v>
      </c>
      <c r="F254" s="439" t="str">
        <f>'Input-FX Rates'!$B$5</f>
        <v>7521 &amp; 7522 PL Mechatronic Sensors (&amp; Electrification)</v>
      </c>
      <c r="G254" s="439" t="s">
        <v>1480</v>
      </c>
      <c r="H254" s="439" t="s">
        <v>658</v>
      </c>
      <c r="I254" s="524">
        <f>'7. BS-Key Figures (GC)'!C20</f>
        <v>648.8817382057232</v>
      </c>
      <c r="J254" s="524">
        <f>'7. BS-Key Figures (GC)'!D20</f>
        <v>1252.8032317531979</v>
      </c>
      <c r="K254" s="523"/>
      <c r="L254" s="524">
        <f>'7. BS-Key Figures (GC)'!E20</f>
        <v>3759.1651504076472</v>
      </c>
      <c r="M254" s="523"/>
      <c r="N254" s="523"/>
      <c r="O254" s="524">
        <f>'7. BS-Key Figures (GC)'!S20</f>
        <v>1385.8650917241382</v>
      </c>
      <c r="P254" s="523"/>
      <c r="Q254" s="523"/>
      <c r="R254" s="523"/>
      <c r="S254" s="523"/>
      <c r="T254" s="523"/>
      <c r="U254" s="523"/>
      <c r="V254" s="523"/>
      <c r="W254" s="524">
        <f>'7. BS-Key Figures (GC)'!F20</f>
        <v>3190.3945137931032</v>
      </c>
      <c r="X254" s="524">
        <f>'7. BS-Key Figures (GC)'!G20</f>
        <v>3074.1502524137932</v>
      </c>
      <c r="Y254" s="524">
        <f>'7. BS-Key Figures (GC)'!H20</f>
        <v>2742.240024137931</v>
      </c>
      <c r="Z254" s="524">
        <f>'7. BS-Key Figures (GC)'!I20</f>
        <v>2340.6472593103454</v>
      </c>
      <c r="AA254" s="524">
        <f>'7. BS-Key Figures (GC)'!J20</f>
        <v>2241.6454241379315</v>
      </c>
      <c r="AB254" s="524">
        <f>'7. BS-Key Figures (GC)'!K20</f>
        <v>2122.8741710344834</v>
      </c>
      <c r="AC254" s="524">
        <f>'7. BS-Key Figures (GC)'!L20</f>
        <v>2052.9341234482763</v>
      </c>
      <c r="AD254" s="524">
        <f>'7. BS-Key Figures (GC)'!M20</f>
        <v>1695.3900868965522</v>
      </c>
      <c r="AE254" s="524">
        <f>'7. BS-Key Figures (GC)'!N20</f>
        <v>1350.1708186206895</v>
      </c>
      <c r="AF254" s="524">
        <f>'7. BS-Key Figures (GC)'!O20</f>
        <v>1320.6119289655169</v>
      </c>
      <c r="AG254" s="524">
        <f>'7. BS-Key Figures (GC)'!P20</f>
        <v>1400.0949958620686</v>
      </c>
      <c r="AH254" s="524">
        <f>'7. BS-Key Figures (GC)'!Q20</f>
        <v>1385.8650917241375</v>
      </c>
      <c r="AI254" s="523"/>
      <c r="AJ254" s="523"/>
      <c r="AK254" s="523"/>
      <c r="AL254" s="523"/>
      <c r="AM254" s="523"/>
      <c r="AN254" s="523"/>
      <c r="AO254" s="439" t="str">
        <f>'7. BS-Key Figures (GC)'!U20</f>
        <v/>
      </c>
      <c r="AP254" s="439">
        <v>220</v>
      </c>
      <c r="AQ254" s="439" t="str">
        <f>Settings!$A$1</f>
        <v>V2</v>
      </c>
    </row>
    <row r="255" spans="1:43" s="846" customFormat="1" x14ac:dyDescent="0.2">
      <c r="A255" s="846">
        <f>'Input-FX Rates'!$C$4</f>
        <v>242</v>
      </c>
      <c r="B255" s="846" t="str">
        <f>'Input-FX Rates'!$B$4</f>
        <v>ICH Icheon (242)</v>
      </c>
      <c r="C255" s="846">
        <f>'Input-FX Rates'!$C$6</f>
        <v>750</v>
      </c>
      <c r="D255" s="846" t="str">
        <f>'Input-FX Rates'!$B$6</f>
        <v>750 BU Sensorics &amp; Controls</v>
      </c>
      <c r="E255" s="846" t="str">
        <f>'Input-FX Rates'!$C$5</f>
        <v>7521 &amp; 7522</v>
      </c>
      <c r="F255" s="846" t="str">
        <f>'Input-FX Rates'!$B$5</f>
        <v>7521 &amp; 7522 PL Mechatronic Sensors (&amp; Electrification)</v>
      </c>
      <c r="G255" s="846" t="s">
        <v>1480</v>
      </c>
      <c r="H255" s="846" t="s">
        <v>676</v>
      </c>
      <c r="I255" s="848">
        <f>'7. BS-Key Figures (GC)'!C22</f>
        <v>572.26938024272715</v>
      </c>
      <c r="J255" s="848">
        <f>'7. BS-Key Figures (GC)'!D22</f>
        <v>497.10478931527467</v>
      </c>
      <c r="K255" s="847"/>
      <c r="L255" s="848">
        <f>'7. BS-Key Figures (GC)'!E22</f>
        <v>331.75765321900485</v>
      </c>
      <c r="M255" s="847"/>
      <c r="N255" s="847"/>
      <c r="O255" s="848">
        <f>'7. BS-Key Figures (GC)'!S22</f>
        <v>460.90681724137931</v>
      </c>
      <c r="P255" s="847"/>
      <c r="Q255" s="847"/>
      <c r="R255" s="847"/>
      <c r="S255" s="847"/>
      <c r="T255" s="847"/>
      <c r="U255" s="847"/>
      <c r="V255" s="847"/>
      <c r="W255" s="848">
        <f>'7. BS-Key Figures (GC)'!F22</f>
        <v>28.309266896551726</v>
      </c>
      <c r="X255" s="848">
        <f>'7. BS-Key Figures (GC)'!G22</f>
        <v>28.309266896551726</v>
      </c>
      <c r="Y255" s="848">
        <f>'7. BS-Key Figures (GC)'!H22</f>
        <v>28.309266896551726</v>
      </c>
      <c r="Z255" s="848">
        <f>'7. BS-Key Figures (GC)'!I22</f>
        <v>28.309266896551726</v>
      </c>
      <c r="AA255" s="848">
        <f>'7. BS-Key Figures (GC)'!J22</f>
        <v>28.309266896551726</v>
      </c>
      <c r="AB255" s="848">
        <f>'7. BS-Key Figures (GC)'!K22</f>
        <v>28.309266896551726</v>
      </c>
      <c r="AC255" s="848">
        <f>'7. BS-Key Figures (GC)'!L22</f>
        <v>28.309266896551726</v>
      </c>
      <c r="AD255" s="848">
        <f>'7. BS-Key Figures (GC)'!M22</f>
        <v>149.50487517241376</v>
      </c>
      <c r="AE255" s="848">
        <f>'7. BS-Key Figures (GC)'!N22</f>
        <v>28.309266896551726</v>
      </c>
      <c r="AF255" s="848">
        <f>'7. BS-Key Figures (GC)'!O22</f>
        <v>28.309266896551726</v>
      </c>
      <c r="AG255" s="848">
        <f>'7. BS-Key Figures (GC)'!P22</f>
        <v>28.309266896551726</v>
      </c>
      <c r="AH255" s="848">
        <f>'7. BS-Key Figures (GC)'!Q22</f>
        <v>28.309273103448273</v>
      </c>
      <c r="AI255" s="847"/>
      <c r="AJ255" s="847"/>
      <c r="AK255" s="847"/>
      <c r="AL255" s="847"/>
      <c r="AM255" s="847"/>
      <c r="AN255" s="847"/>
      <c r="AO255" s="846" t="str">
        <f>'7. BS-Key Figures (GC)'!U22</f>
        <v/>
      </c>
      <c r="AP255" s="846">
        <v>1221</v>
      </c>
      <c r="AQ255" s="846" t="str">
        <f>Settings!$A$1</f>
        <v>V2</v>
      </c>
    </row>
    <row r="256" spans="1:43" x14ac:dyDescent="0.2">
      <c r="A256" s="439">
        <f>'Input-FX Rates'!$C$4</f>
        <v>242</v>
      </c>
      <c r="B256" s="439" t="str">
        <f>'Input-FX Rates'!$B$4</f>
        <v>ICH Icheon (242)</v>
      </c>
      <c r="C256" s="439">
        <f>'Input-FX Rates'!$C$6</f>
        <v>750</v>
      </c>
      <c r="D256" s="439" t="str">
        <f>'Input-FX Rates'!$B$6</f>
        <v>750 BU Sensorics &amp; Controls</v>
      </c>
      <c r="E256" s="439" t="str">
        <f>'Input-FX Rates'!$C$5</f>
        <v>7521 &amp; 7522</v>
      </c>
      <c r="F256" s="439" t="str">
        <f>'Input-FX Rates'!$B$5</f>
        <v>7521 &amp; 7522 PL Mechatronic Sensors (&amp; Electrification)</v>
      </c>
      <c r="G256" s="439" t="s">
        <v>1481</v>
      </c>
      <c r="H256" s="439" t="s">
        <v>1482</v>
      </c>
      <c r="I256" s="523"/>
      <c r="J256" s="524">
        <f>'8. Volumes'!A7</f>
        <v>0.59</v>
      </c>
      <c r="K256" s="523"/>
      <c r="L256" s="524">
        <f>'8. Volumes'!B7</f>
        <v>1.2</v>
      </c>
      <c r="M256" s="523"/>
      <c r="N256" s="523"/>
      <c r="O256" s="524">
        <f>'8. Volumes'!D7</f>
        <v>110</v>
      </c>
      <c r="P256" s="523"/>
      <c r="Q256" s="523"/>
      <c r="R256" s="523"/>
      <c r="S256" s="523"/>
      <c r="T256" s="523"/>
      <c r="U256" s="523"/>
      <c r="V256" s="523"/>
      <c r="W256" s="523"/>
      <c r="X256" s="523"/>
      <c r="Y256" s="523"/>
      <c r="Z256" s="523"/>
      <c r="AA256" s="523"/>
      <c r="AB256" s="523"/>
      <c r="AC256" s="523"/>
      <c r="AD256" s="523"/>
      <c r="AE256" s="523"/>
      <c r="AF256" s="523"/>
      <c r="AG256" s="523"/>
      <c r="AH256" s="523"/>
      <c r="AI256" s="523"/>
      <c r="AJ256" s="523"/>
      <c r="AK256" s="523"/>
      <c r="AL256" s="523"/>
      <c r="AM256" s="523"/>
      <c r="AN256" s="439" t="str">
        <f>'8. Volumes'!C7</f>
        <v>DHS(Door Handle Sensor)</v>
      </c>
      <c r="AO256" s="523"/>
      <c r="AP256" s="439">
        <v>222</v>
      </c>
      <c r="AQ256" s="439" t="str">
        <f>Settings!$A$1</f>
        <v>V2</v>
      </c>
    </row>
    <row r="257" spans="1:43" x14ac:dyDescent="0.2">
      <c r="A257" s="439">
        <f>'Input-FX Rates'!$C$4</f>
        <v>242</v>
      </c>
      <c r="B257" s="439" t="str">
        <f>'Input-FX Rates'!$B$4</f>
        <v>ICH Icheon (242)</v>
      </c>
      <c r="C257" s="439">
        <f>'Input-FX Rates'!$C$6</f>
        <v>750</v>
      </c>
      <c r="D257" s="439" t="str">
        <f>'Input-FX Rates'!$B$6</f>
        <v>750 BU Sensorics &amp; Controls</v>
      </c>
      <c r="E257" s="439" t="str">
        <f>'Input-FX Rates'!$C$5</f>
        <v>7521 &amp; 7522</v>
      </c>
      <c r="F257" s="439" t="str">
        <f>'Input-FX Rates'!$B$5</f>
        <v>7521 &amp; 7522 PL Mechatronic Sensors (&amp; Electrification)</v>
      </c>
      <c r="G257" s="439" t="s">
        <v>1481</v>
      </c>
      <c r="H257" s="439" t="s">
        <v>1483</v>
      </c>
      <c r="I257" s="523"/>
      <c r="J257" s="524">
        <f>'8. Volumes'!A8</f>
        <v>0.24</v>
      </c>
      <c r="K257" s="523"/>
      <c r="L257" s="524">
        <f>'8. Volumes'!B8</f>
        <v>5618.23</v>
      </c>
      <c r="M257" s="523"/>
      <c r="N257" s="523"/>
      <c r="O257" s="524">
        <f>'8. Volumes'!D8</f>
        <v>4755.9440000000004</v>
      </c>
      <c r="P257" s="523"/>
      <c r="Q257" s="523"/>
      <c r="R257" s="523"/>
      <c r="S257" s="523"/>
      <c r="T257" s="523"/>
      <c r="U257" s="523"/>
      <c r="V257" s="523"/>
      <c r="W257" s="523"/>
      <c r="X257" s="523"/>
      <c r="Y257" s="523"/>
      <c r="Z257" s="523"/>
      <c r="AA257" s="523"/>
      <c r="AB257" s="523"/>
      <c r="AC257" s="523"/>
      <c r="AD257" s="523"/>
      <c r="AE257" s="523"/>
      <c r="AF257" s="523"/>
      <c r="AG257" s="523"/>
      <c r="AH257" s="523"/>
      <c r="AI257" s="523"/>
      <c r="AJ257" s="523"/>
      <c r="AK257" s="523"/>
      <c r="AL257" s="523"/>
      <c r="AM257" s="523"/>
      <c r="AN257" s="439" t="str">
        <f>'8. Volumes'!C8</f>
        <v>KS (Knock Sensor)</v>
      </c>
      <c r="AO257" s="523"/>
      <c r="AP257" s="439">
        <v>223</v>
      </c>
      <c r="AQ257" s="439" t="str">
        <f>Settings!$A$1</f>
        <v>V2</v>
      </c>
    </row>
    <row r="258" spans="1:43" x14ac:dyDescent="0.2">
      <c r="A258" s="439">
        <f>'Input-FX Rates'!$C$4</f>
        <v>242</v>
      </c>
      <c r="B258" s="439" t="str">
        <f>'Input-FX Rates'!$B$4</f>
        <v>ICH Icheon (242)</v>
      </c>
      <c r="C258" s="439">
        <f>'Input-FX Rates'!$C$6</f>
        <v>750</v>
      </c>
      <c r="D258" s="439" t="str">
        <f>'Input-FX Rates'!$B$6</f>
        <v>750 BU Sensorics &amp; Controls</v>
      </c>
      <c r="E258" s="439" t="str">
        <f>'Input-FX Rates'!$C$5</f>
        <v>7521 &amp; 7522</v>
      </c>
      <c r="F258" s="439" t="str">
        <f>'Input-FX Rates'!$B$5</f>
        <v>7521 &amp; 7522 PL Mechatronic Sensors (&amp; Electrification)</v>
      </c>
      <c r="G258" s="439" t="s">
        <v>1481</v>
      </c>
      <c r="H258" s="439" t="s">
        <v>1484</v>
      </c>
      <c r="I258" s="523"/>
      <c r="J258" s="524">
        <f>'8. Volumes'!A9</f>
        <v>0</v>
      </c>
      <c r="K258" s="523"/>
      <c r="L258" s="524">
        <f>'8. Volumes'!B9</f>
        <v>0</v>
      </c>
      <c r="M258" s="523"/>
      <c r="N258" s="523"/>
      <c r="O258" s="524">
        <f>'8. Volumes'!D9</f>
        <v>0</v>
      </c>
      <c r="P258" s="523"/>
      <c r="Q258" s="523"/>
      <c r="R258" s="523"/>
      <c r="S258" s="523"/>
      <c r="T258" s="523"/>
      <c r="U258" s="523"/>
      <c r="V258" s="523"/>
      <c r="W258" s="523"/>
      <c r="X258" s="523"/>
      <c r="Y258" s="523"/>
      <c r="Z258" s="523"/>
      <c r="AA258" s="523"/>
      <c r="AB258" s="523"/>
      <c r="AC258" s="523"/>
      <c r="AD258" s="523"/>
      <c r="AE258" s="523"/>
      <c r="AF258" s="523"/>
      <c r="AG258" s="523"/>
      <c r="AH258" s="523"/>
      <c r="AI258" s="523"/>
      <c r="AJ258" s="523"/>
      <c r="AK258" s="523"/>
      <c r="AL258" s="523"/>
      <c r="AM258" s="523"/>
      <c r="AN258" s="439">
        <f>'8. Volumes'!C9</f>
        <v>0</v>
      </c>
      <c r="AO258" s="523"/>
      <c r="AP258" s="439">
        <v>224</v>
      </c>
      <c r="AQ258" s="439" t="str">
        <f>Settings!$A$1</f>
        <v>V2</v>
      </c>
    </row>
    <row r="259" spans="1:43" x14ac:dyDescent="0.2">
      <c r="A259" s="439">
        <f>'Input-FX Rates'!$C$4</f>
        <v>242</v>
      </c>
      <c r="B259" s="439" t="str">
        <f>'Input-FX Rates'!$B$4</f>
        <v>ICH Icheon (242)</v>
      </c>
      <c r="C259" s="439">
        <f>'Input-FX Rates'!$C$6</f>
        <v>750</v>
      </c>
      <c r="D259" s="439" t="str">
        <f>'Input-FX Rates'!$B$6</f>
        <v>750 BU Sensorics &amp; Controls</v>
      </c>
      <c r="E259" s="439" t="str">
        <f>'Input-FX Rates'!$C$5</f>
        <v>7521 &amp; 7522</v>
      </c>
      <c r="F259" s="439" t="str">
        <f>'Input-FX Rates'!$B$5</f>
        <v>7521 &amp; 7522 PL Mechatronic Sensors (&amp; Electrification)</v>
      </c>
      <c r="G259" s="439" t="s">
        <v>1481</v>
      </c>
      <c r="H259" s="439" t="s">
        <v>1485</v>
      </c>
      <c r="I259" s="523"/>
      <c r="J259" s="524">
        <f>'8. Volumes'!A10</f>
        <v>0</v>
      </c>
      <c r="K259" s="523"/>
      <c r="L259" s="524">
        <f>'8. Volumes'!B10</f>
        <v>0</v>
      </c>
      <c r="M259" s="523"/>
      <c r="N259" s="523"/>
      <c r="O259" s="524">
        <f>'8. Volumes'!D10</f>
        <v>0</v>
      </c>
      <c r="P259" s="523"/>
      <c r="Q259" s="523"/>
      <c r="R259" s="523"/>
      <c r="S259" s="523"/>
      <c r="T259" s="523"/>
      <c r="U259" s="523"/>
      <c r="V259" s="523"/>
      <c r="W259" s="523"/>
      <c r="X259" s="523"/>
      <c r="Y259" s="523"/>
      <c r="Z259" s="523"/>
      <c r="AA259" s="523"/>
      <c r="AB259" s="523"/>
      <c r="AC259" s="523"/>
      <c r="AD259" s="523"/>
      <c r="AE259" s="523"/>
      <c r="AF259" s="523"/>
      <c r="AG259" s="523"/>
      <c r="AH259" s="523"/>
      <c r="AI259" s="523"/>
      <c r="AJ259" s="523"/>
      <c r="AK259" s="523"/>
      <c r="AL259" s="523"/>
      <c r="AM259" s="523"/>
      <c r="AN259" s="439">
        <f>'8. Volumes'!C10</f>
        <v>0</v>
      </c>
      <c r="AO259" s="523"/>
      <c r="AP259" s="439">
        <v>225</v>
      </c>
      <c r="AQ259" s="439" t="str">
        <f>Settings!$A$1</f>
        <v>V2</v>
      </c>
    </row>
    <row r="260" spans="1:43" x14ac:dyDescent="0.2">
      <c r="A260" s="439">
        <f>'Input-FX Rates'!$C$4</f>
        <v>242</v>
      </c>
      <c r="B260" s="439" t="str">
        <f>'Input-FX Rates'!$B$4</f>
        <v>ICH Icheon (242)</v>
      </c>
      <c r="C260" s="439">
        <f>'Input-FX Rates'!$C$6</f>
        <v>750</v>
      </c>
      <c r="D260" s="439" t="str">
        <f>'Input-FX Rates'!$B$6</f>
        <v>750 BU Sensorics &amp; Controls</v>
      </c>
      <c r="E260" s="439" t="str">
        <f>'Input-FX Rates'!$C$5</f>
        <v>7521 &amp; 7522</v>
      </c>
      <c r="F260" s="439" t="str">
        <f>'Input-FX Rates'!$B$5</f>
        <v>7521 &amp; 7522 PL Mechatronic Sensors (&amp; Electrification)</v>
      </c>
      <c r="G260" s="439" t="s">
        <v>1481</v>
      </c>
      <c r="H260" s="439" t="s">
        <v>1486</v>
      </c>
      <c r="I260" s="523"/>
      <c r="J260" s="524">
        <f>'8. Volumes'!A11</f>
        <v>0</v>
      </c>
      <c r="K260" s="523"/>
      <c r="L260" s="524">
        <f>'8. Volumes'!B11</f>
        <v>0</v>
      </c>
      <c r="M260" s="523"/>
      <c r="N260" s="523"/>
      <c r="O260" s="524">
        <f>'8. Volumes'!D11</f>
        <v>0</v>
      </c>
      <c r="P260" s="523"/>
      <c r="Q260" s="523"/>
      <c r="R260" s="523"/>
      <c r="S260" s="523"/>
      <c r="T260" s="523"/>
      <c r="U260" s="523"/>
      <c r="V260" s="523"/>
      <c r="W260" s="523"/>
      <c r="X260" s="523"/>
      <c r="Y260" s="523"/>
      <c r="Z260" s="523"/>
      <c r="AA260" s="523"/>
      <c r="AB260" s="523"/>
      <c r="AC260" s="523"/>
      <c r="AD260" s="523"/>
      <c r="AE260" s="523"/>
      <c r="AF260" s="523"/>
      <c r="AG260" s="523"/>
      <c r="AH260" s="523"/>
      <c r="AI260" s="523"/>
      <c r="AJ260" s="523"/>
      <c r="AK260" s="523"/>
      <c r="AL260" s="523"/>
      <c r="AM260" s="523"/>
      <c r="AN260" s="439">
        <f>'8. Volumes'!C11</f>
        <v>0</v>
      </c>
      <c r="AO260" s="523"/>
      <c r="AP260" s="439">
        <v>226</v>
      </c>
      <c r="AQ260" s="439" t="str">
        <f>Settings!$A$1</f>
        <v>V2</v>
      </c>
    </row>
    <row r="261" spans="1:43" x14ac:dyDescent="0.2">
      <c r="A261" s="439">
        <f>'Input-FX Rates'!$C$4</f>
        <v>242</v>
      </c>
      <c r="B261" s="439" t="str">
        <f>'Input-FX Rates'!$B$4</f>
        <v>ICH Icheon (242)</v>
      </c>
      <c r="C261" s="439">
        <f>'Input-FX Rates'!$C$6</f>
        <v>750</v>
      </c>
      <c r="D261" s="439" t="str">
        <f>'Input-FX Rates'!$B$6</f>
        <v>750 BU Sensorics &amp; Controls</v>
      </c>
      <c r="E261" s="439" t="str">
        <f>'Input-FX Rates'!$C$5</f>
        <v>7521 &amp; 7522</v>
      </c>
      <c r="F261" s="439" t="str">
        <f>'Input-FX Rates'!$B$5</f>
        <v>7521 &amp; 7522 PL Mechatronic Sensors (&amp; Electrification)</v>
      </c>
      <c r="G261" s="439" t="s">
        <v>1481</v>
      </c>
      <c r="H261" s="439" t="s">
        <v>1487</v>
      </c>
      <c r="I261" s="523"/>
      <c r="J261" s="524">
        <f>'8. Volumes'!A12</f>
        <v>0</v>
      </c>
      <c r="K261" s="523"/>
      <c r="L261" s="524">
        <f>'8. Volumes'!B12</f>
        <v>0</v>
      </c>
      <c r="M261" s="523"/>
      <c r="N261" s="523"/>
      <c r="O261" s="524">
        <f>'8. Volumes'!D12</f>
        <v>0</v>
      </c>
      <c r="P261" s="523"/>
      <c r="Q261" s="523"/>
      <c r="R261" s="523"/>
      <c r="S261" s="523"/>
      <c r="T261" s="523"/>
      <c r="U261" s="523"/>
      <c r="V261" s="523"/>
      <c r="W261" s="523"/>
      <c r="X261" s="523"/>
      <c r="Y261" s="523"/>
      <c r="Z261" s="523"/>
      <c r="AA261" s="523"/>
      <c r="AB261" s="523"/>
      <c r="AC261" s="523"/>
      <c r="AD261" s="523"/>
      <c r="AE261" s="523"/>
      <c r="AF261" s="523"/>
      <c r="AG261" s="523"/>
      <c r="AH261" s="523"/>
      <c r="AI261" s="523"/>
      <c r="AJ261" s="523"/>
      <c r="AK261" s="523"/>
      <c r="AL261" s="523"/>
      <c r="AM261" s="523"/>
      <c r="AN261" s="439">
        <f>'8. Volumes'!C12</f>
        <v>0</v>
      </c>
      <c r="AO261" s="523"/>
      <c r="AP261" s="439">
        <v>227</v>
      </c>
      <c r="AQ261" s="439" t="str">
        <f>Settings!$A$1</f>
        <v>V2</v>
      </c>
    </row>
    <row r="262" spans="1:43" x14ac:dyDescent="0.2">
      <c r="A262" s="439">
        <f>'Input-FX Rates'!$C$4</f>
        <v>242</v>
      </c>
      <c r="B262" s="439" t="str">
        <f>'Input-FX Rates'!$B$4</f>
        <v>ICH Icheon (242)</v>
      </c>
      <c r="C262" s="439">
        <f>'Input-FX Rates'!$C$6</f>
        <v>750</v>
      </c>
      <c r="D262" s="439" t="str">
        <f>'Input-FX Rates'!$B$6</f>
        <v>750 BU Sensorics &amp; Controls</v>
      </c>
      <c r="E262" s="439" t="str">
        <f>'Input-FX Rates'!$C$5</f>
        <v>7521 &amp; 7522</v>
      </c>
      <c r="F262" s="439" t="str">
        <f>'Input-FX Rates'!$B$5</f>
        <v>7521 &amp; 7522 PL Mechatronic Sensors (&amp; Electrification)</v>
      </c>
      <c r="G262" s="439" t="s">
        <v>1481</v>
      </c>
      <c r="H262" s="439" t="s">
        <v>1488</v>
      </c>
      <c r="I262" s="523"/>
      <c r="J262" s="524">
        <f>'8. Volumes'!A13</f>
        <v>0</v>
      </c>
      <c r="K262" s="523"/>
      <c r="L262" s="524">
        <f>'8. Volumes'!B13</f>
        <v>0</v>
      </c>
      <c r="M262" s="523"/>
      <c r="N262" s="523"/>
      <c r="O262" s="524">
        <f>'8. Volumes'!D13</f>
        <v>0</v>
      </c>
      <c r="P262" s="523"/>
      <c r="Q262" s="523"/>
      <c r="R262" s="523"/>
      <c r="S262" s="523"/>
      <c r="T262" s="523"/>
      <c r="U262" s="523"/>
      <c r="V262" s="523"/>
      <c r="W262" s="523"/>
      <c r="X262" s="523"/>
      <c r="Y262" s="523"/>
      <c r="Z262" s="523"/>
      <c r="AA262" s="523"/>
      <c r="AB262" s="523"/>
      <c r="AC262" s="523"/>
      <c r="AD262" s="523"/>
      <c r="AE262" s="523"/>
      <c r="AF262" s="523"/>
      <c r="AG262" s="523"/>
      <c r="AH262" s="523"/>
      <c r="AI262" s="523"/>
      <c r="AJ262" s="523"/>
      <c r="AK262" s="523"/>
      <c r="AL262" s="523"/>
      <c r="AM262" s="523"/>
      <c r="AN262" s="439">
        <f>'8. Volumes'!C13</f>
        <v>0</v>
      </c>
      <c r="AO262" s="523"/>
      <c r="AP262" s="439">
        <v>228</v>
      </c>
      <c r="AQ262" s="439" t="str">
        <f>Settings!$A$1</f>
        <v>V2</v>
      </c>
    </row>
    <row r="263" spans="1:43" x14ac:dyDescent="0.2">
      <c r="A263" s="439">
        <f>'Input-FX Rates'!$C$4</f>
        <v>242</v>
      </c>
      <c r="B263" s="439" t="str">
        <f>'Input-FX Rates'!$B$4</f>
        <v>ICH Icheon (242)</v>
      </c>
      <c r="C263" s="439">
        <f>'Input-FX Rates'!$C$6</f>
        <v>750</v>
      </c>
      <c r="D263" s="439" t="str">
        <f>'Input-FX Rates'!$B$6</f>
        <v>750 BU Sensorics &amp; Controls</v>
      </c>
      <c r="E263" s="439" t="str">
        <f>'Input-FX Rates'!$C$5</f>
        <v>7521 &amp; 7522</v>
      </c>
      <c r="F263" s="439" t="str">
        <f>'Input-FX Rates'!$B$5</f>
        <v>7521 &amp; 7522 PL Mechatronic Sensors (&amp; Electrification)</v>
      </c>
      <c r="G263" s="439" t="s">
        <v>1481</v>
      </c>
      <c r="H263" s="439" t="s">
        <v>1489</v>
      </c>
      <c r="I263" s="523"/>
      <c r="J263" s="524">
        <f>'8. Volumes'!A14</f>
        <v>0</v>
      </c>
      <c r="K263" s="523"/>
      <c r="L263" s="524">
        <f>'8. Volumes'!B14</f>
        <v>0</v>
      </c>
      <c r="M263" s="523"/>
      <c r="N263" s="523"/>
      <c r="O263" s="524">
        <f>'8. Volumes'!D14</f>
        <v>0</v>
      </c>
      <c r="P263" s="523"/>
      <c r="Q263" s="523"/>
      <c r="R263" s="523"/>
      <c r="S263" s="523"/>
      <c r="T263" s="523"/>
      <c r="U263" s="523"/>
      <c r="V263" s="523"/>
      <c r="W263" s="523"/>
      <c r="X263" s="523"/>
      <c r="Y263" s="523"/>
      <c r="Z263" s="523"/>
      <c r="AA263" s="523"/>
      <c r="AB263" s="523"/>
      <c r="AC263" s="523"/>
      <c r="AD263" s="523"/>
      <c r="AE263" s="523"/>
      <c r="AF263" s="523"/>
      <c r="AG263" s="523"/>
      <c r="AH263" s="523"/>
      <c r="AI263" s="523"/>
      <c r="AJ263" s="523"/>
      <c r="AK263" s="523"/>
      <c r="AL263" s="523"/>
      <c r="AM263" s="523"/>
      <c r="AN263" s="439">
        <f>'8. Volumes'!C14</f>
        <v>0</v>
      </c>
      <c r="AO263" s="523"/>
      <c r="AP263" s="439">
        <v>229</v>
      </c>
      <c r="AQ263" s="439" t="str">
        <f>Settings!$A$1</f>
        <v>V2</v>
      </c>
    </row>
    <row r="264" spans="1:43" x14ac:dyDescent="0.2">
      <c r="A264" s="439">
        <f>'Input-FX Rates'!$C$4</f>
        <v>242</v>
      </c>
      <c r="B264" s="439" t="str">
        <f>'Input-FX Rates'!$B$4</f>
        <v>ICH Icheon (242)</v>
      </c>
      <c r="C264" s="439">
        <f>'Input-FX Rates'!$C$6</f>
        <v>750</v>
      </c>
      <c r="D264" s="439" t="str">
        <f>'Input-FX Rates'!$B$6</f>
        <v>750 BU Sensorics &amp; Controls</v>
      </c>
      <c r="E264" s="439" t="str">
        <f>'Input-FX Rates'!$C$5</f>
        <v>7521 &amp; 7522</v>
      </c>
      <c r="F264" s="439" t="str">
        <f>'Input-FX Rates'!$B$5</f>
        <v>7521 &amp; 7522 PL Mechatronic Sensors (&amp; Electrification)</v>
      </c>
      <c r="G264" s="439" t="s">
        <v>1481</v>
      </c>
      <c r="H264" s="439" t="s">
        <v>1490</v>
      </c>
      <c r="I264" s="523"/>
      <c r="J264" s="524">
        <f>'8. Volumes'!A15</f>
        <v>0</v>
      </c>
      <c r="K264" s="523"/>
      <c r="L264" s="524">
        <f>'8. Volumes'!B15</f>
        <v>0</v>
      </c>
      <c r="M264" s="523"/>
      <c r="N264" s="523"/>
      <c r="O264" s="524">
        <f>'8. Volumes'!D15</f>
        <v>0</v>
      </c>
      <c r="P264" s="523"/>
      <c r="Q264" s="523"/>
      <c r="R264" s="523"/>
      <c r="S264" s="523"/>
      <c r="T264" s="523"/>
      <c r="U264" s="523"/>
      <c r="V264" s="523"/>
      <c r="W264" s="523"/>
      <c r="X264" s="523"/>
      <c r="Y264" s="523"/>
      <c r="Z264" s="523"/>
      <c r="AA264" s="523"/>
      <c r="AB264" s="523"/>
      <c r="AC264" s="523"/>
      <c r="AD264" s="523"/>
      <c r="AE264" s="523"/>
      <c r="AF264" s="523"/>
      <c r="AG264" s="523"/>
      <c r="AH264" s="523"/>
      <c r="AI264" s="523"/>
      <c r="AJ264" s="523"/>
      <c r="AK264" s="523"/>
      <c r="AL264" s="523"/>
      <c r="AM264" s="523"/>
      <c r="AN264" s="439">
        <f>'8. Volumes'!C15</f>
        <v>0</v>
      </c>
      <c r="AO264" s="523"/>
      <c r="AP264" s="439">
        <v>230</v>
      </c>
      <c r="AQ264" s="439" t="str">
        <f>Settings!$A$1</f>
        <v>V2</v>
      </c>
    </row>
    <row r="265" spans="1:43" x14ac:dyDescent="0.2">
      <c r="A265" s="439">
        <f>'Input-FX Rates'!$C$4</f>
        <v>242</v>
      </c>
      <c r="B265" s="439" t="str">
        <f>'Input-FX Rates'!$B$4</f>
        <v>ICH Icheon (242)</v>
      </c>
      <c r="C265" s="439">
        <f>'Input-FX Rates'!$C$6</f>
        <v>750</v>
      </c>
      <c r="D265" s="439" t="str">
        <f>'Input-FX Rates'!$B$6</f>
        <v>750 BU Sensorics &amp; Controls</v>
      </c>
      <c r="E265" s="439" t="str">
        <f>'Input-FX Rates'!$C$5</f>
        <v>7521 &amp; 7522</v>
      </c>
      <c r="F265" s="439" t="str">
        <f>'Input-FX Rates'!$B$5</f>
        <v>7521 &amp; 7522 PL Mechatronic Sensors (&amp; Electrification)</v>
      </c>
      <c r="G265" s="439" t="s">
        <v>1481</v>
      </c>
      <c r="H265" s="439" t="s">
        <v>1491</v>
      </c>
      <c r="I265" s="523"/>
      <c r="J265" s="524">
        <f>'8. Volumes'!A16</f>
        <v>0</v>
      </c>
      <c r="K265" s="523"/>
      <c r="L265" s="524">
        <f>'8. Volumes'!B16</f>
        <v>0</v>
      </c>
      <c r="M265" s="523"/>
      <c r="N265" s="523"/>
      <c r="O265" s="524">
        <f>'8. Volumes'!D16</f>
        <v>0</v>
      </c>
      <c r="P265" s="523"/>
      <c r="Q265" s="523"/>
      <c r="R265" s="523"/>
      <c r="S265" s="523"/>
      <c r="T265" s="523"/>
      <c r="U265" s="523"/>
      <c r="V265" s="523"/>
      <c r="W265" s="523"/>
      <c r="X265" s="523"/>
      <c r="Y265" s="523"/>
      <c r="Z265" s="523"/>
      <c r="AA265" s="523"/>
      <c r="AB265" s="523"/>
      <c r="AC265" s="523"/>
      <c r="AD265" s="523"/>
      <c r="AE265" s="523"/>
      <c r="AF265" s="523"/>
      <c r="AG265" s="523"/>
      <c r="AH265" s="523"/>
      <c r="AI265" s="523"/>
      <c r="AJ265" s="523"/>
      <c r="AK265" s="523"/>
      <c r="AL265" s="523"/>
      <c r="AM265" s="523"/>
      <c r="AN265" s="439">
        <f>'8. Volumes'!C16</f>
        <v>0</v>
      </c>
      <c r="AO265" s="523"/>
      <c r="AP265" s="439">
        <v>231</v>
      </c>
      <c r="AQ265" s="439" t="str">
        <f>Settings!$A$1</f>
        <v>V2</v>
      </c>
    </row>
    <row r="266" spans="1:43" x14ac:dyDescent="0.2">
      <c r="A266" s="439">
        <f>'Input-FX Rates'!$C$4</f>
        <v>242</v>
      </c>
      <c r="B266" s="439" t="str">
        <f>'Input-FX Rates'!$B$4</f>
        <v>ICH Icheon (242)</v>
      </c>
      <c r="C266" s="439">
        <f>'Input-FX Rates'!$C$6</f>
        <v>750</v>
      </c>
      <c r="D266" s="439" t="str">
        <f>'Input-FX Rates'!$B$6</f>
        <v>750 BU Sensorics &amp; Controls</v>
      </c>
      <c r="E266" s="439" t="str">
        <f>'Input-FX Rates'!$C$5</f>
        <v>7521 &amp; 7522</v>
      </c>
      <c r="F266" s="439" t="str">
        <f>'Input-FX Rates'!$B$5</f>
        <v>7521 &amp; 7522 PL Mechatronic Sensors (&amp; Electrification)</v>
      </c>
      <c r="G266" s="439" t="s">
        <v>1481</v>
      </c>
      <c r="H266" s="439" t="s">
        <v>1492</v>
      </c>
      <c r="I266" s="523"/>
      <c r="J266" s="524">
        <f>'8. Volumes'!A17</f>
        <v>0</v>
      </c>
      <c r="K266" s="523"/>
      <c r="L266" s="524">
        <f>'8. Volumes'!B17</f>
        <v>0</v>
      </c>
      <c r="M266" s="523"/>
      <c r="N266" s="523"/>
      <c r="O266" s="524">
        <f>'8. Volumes'!D17</f>
        <v>0</v>
      </c>
      <c r="P266" s="523"/>
      <c r="Q266" s="523"/>
      <c r="R266" s="523"/>
      <c r="S266" s="523"/>
      <c r="T266" s="523"/>
      <c r="U266" s="523"/>
      <c r="V266" s="523"/>
      <c r="W266" s="523"/>
      <c r="X266" s="523"/>
      <c r="Y266" s="523"/>
      <c r="Z266" s="523"/>
      <c r="AA266" s="523"/>
      <c r="AB266" s="523"/>
      <c r="AC266" s="523"/>
      <c r="AD266" s="523"/>
      <c r="AE266" s="523"/>
      <c r="AF266" s="523"/>
      <c r="AG266" s="523"/>
      <c r="AH266" s="523"/>
      <c r="AI266" s="523"/>
      <c r="AJ266" s="523"/>
      <c r="AK266" s="523"/>
      <c r="AL266" s="523"/>
      <c r="AM266" s="523"/>
      <c r="AN266" s="439">
        <f>'8. Volumes'!C17</f>
        <v>0</v>
      </c>
      <c r="AO266" s="523"/>
      <c r="AP266" s="439">
        <v>232</v>
      </c>
      <c r="AQ266" s="439" t="str">
        <f>Settings!$A$1</f>
        <v>V2</v>
      </c>
    </row>
    <row r="267" spans="1:43" s="525" customFormat="1" x14ac:dyDescent="0.2">
      <c r="A267" s="525">
        <f>'Input-FX Rates'!$C$4</f>
        <v>242</v>
      </c>
      <c r="B267" s="525" t="str">
        <f>'Input-FX Rates'!$B$4</f>
        <v>ICH Icheon (242)</v>
      </c>
      <c r="C267" s="525">
        <f>'Input-FX Rates'!$C$6</f>
        <v>750</v>
      </c>
      <c r="D267" s="525" t="str">
        <f>'Input-FX Rates'!$B$6</f>
        <v>750 BU Sensorics &amp; Controls</v>
      </c>
      <c r="E267" s="525" t="str">
        <f>'Input-FX Rates'!$C$5</f>
        <v>7521 &amp; 7522</v>
      </c>
      <c r="F267" s="525" t="str">
        <f>'Input-FX Rates'!$B$5</f>
        <v>7521 &amp; 7522 PL Mechatronic Sensors (&amp; Electrification)</v>
      </c>
      <c r="G267" s="525" t="s">
        <v>1481</v>
      </c>
      <c r="H267" s="525" t="s">
        <v>687</v>
      </c>
      <c r="I267" s="526"/>
      <c r="J267" s="527">
        <f>'8. Volumes'!A18</f>
        <v>0</v>
      </c>
      <c r="K267" s="526"/>
      <c r="L267" s="527">
        <f>'8. Volumes'!B18</f>
        <v>5619.4299999999994</v>
      </c>
      <c r="M267" s="526"/>
      <c r="N267" s="526"/>
      <c r="O267" s="527">
        <f>'8. Volumes'!D18</f>
        <v>4865.9440000000004</v>
      </c>
      <c r="P267" s="526"/>
      <c r="Q267" s="526"/>
      <c r="R267" s="526"/>
      <c r="S267" s="526"/>
      <c r="T267" s="526"/>
      <c r="U267" s="526"/>
      <c r="V267" s="526"/>
      <c r="W267" s="526"/>
      <c r="X267" s="526"/>
      <c r="Y267" s="526"/>
      <c r="Z267" s="526"/>
      <c r="AA267" s="526"/>
      <c r="AB267" s="526"/>
      <c r="AC267" s="526"/>
      <c r="AD267" s="526"/>
      <c r="AE267" s="526"/>
      <c r="AF267" s="526"/>
      <c r="AG267" s="526"/>
      <c r="AH267" s="526"/>
      <c r="AI267" s="526"/>
      <c r="AJ267" s="526"/>
      <c r="AK267" s="526"/>
      <c r="AL267" s="526"/>
      <c r="AM267" s="526"/>
      <c r="AN267" s="526"/>
      <c r="AO267" s="526"/>
      <c r="AP267" s="525">
        <v>233</v>
      </c>
      <c r="AQ267" s="525" t="str">
        <f>Settings!$A$1</f>
        <v>V2</v>
      </c>
    </row>
    <row r="268" spans="1:43" x14ac:dyDescent="0.2">
      <c r="A268" s="439">
        <f>'Input-FX Rates'!$C$4</f>
        <v>242</v>
      </c>
      <c r="B268" s="439" t="str">
        <f>'Input-FX Rates'!$B$4</f>
        <v>ICH Icheon (242)</v>
      </c>
      <c r="C268" s="439">
        <f>'Input-FX Rates'!$C$6</f>
        <v>750</v>
      </c>
      <c r="D268" s="439" t="str">
        <f>'Input-FX Rates'!$B$6</f>
        <v>750 BU Sensorics &amp; Controls</v>
      </c>
      <c r="E268" s="439" t="str">
        <f>'Input-FX Rates'!$C$5</f>
        <v>7521 &amp; 7522</v>
      </c>
      <c r="F268" s="439" t="str">
        <f>'Input-FX Rates'!$B$5</f>
        <v>7521 &amp; 7522 PL Mechatronic Sensors (&amp; Electrification)</v>
      </c>
      <c r="G268" s="439" t="s">
        <v>689</v>
      </c>
      <c r="H268" s="439" t="s">
        <v>1101</v>
      </c>
      <c r="I268" s="523"/>
      <c r="J268" s="524">
        <f>'10. Purchasing (GC)'!C8</f>
        <v>7338.0763106999993</v>
      </c>
      <c r="K268" s="523"/>
      <c r="L268" s="523"/>
      <c r="M268" s="523"/>
      <c r="N268" s="523"/>
      <c r="O268" s="524">
        <f>'10. Purchasing (GC)'!D8</f>
        <v>7235.4214022999986</v>
      </c>
      <c r="P268" s="523"/>
      <c r="Q268" s="523"/>
      <c r="R268" s="523"/>
      <c r="S268" s="523"/>
      <c r="T268" s="523"/>
      <c r="U268" s="523"/>
      <c r="V268" s="523"/>
      <c r="W268" s="523"/>
      <c r="X268" s="523"/>
      <c r="Y268" s="523"/>
      <c r="Z268" s="523"/>
      <c r="AA268" s="523"/>
      <c r="AB268" s="523"/>
      <c r="AC268" s="523"/>
      <c r="AD268" s="523"/>
      <c r="AE268" s="523"/>
      <c r="AF268" s="523"/>
      <c r="AG268" s="523"/>
      <c r="AH268" s="523"/>
      <c r="AI268" s="523"/>
      <c r="AJ268" s="523"/>
      <c r="AK268" s="523"/>
      <c r="AL268" s="523"/>
      <c r="AM268" s="523"/>
      <c r="AN268" s="523"/>
      <c r="AO268" s="439" t="str">
        <f>'10. Purchasing (GC)'!G8</f>
        <v/>
      </c>
      <c r="AP268" s="439">
        <v>278</v>
      </c>
      <c r="AQ268" s="439" t="str">
        <f>Settings!$A$1</f>
        <v>V2</v>
      </c>
    </row>
    <row r="269" spans="1:43" x14ac:dyDescent="0.2">
      <c r="A269" s="439">
        <f>'Input-FX Rates'!$C$4</f>
        <v>242</v>
      </c>
      <c r="B269" s="439" t="str">
        <f>'Input-FX Rates'!$B$4</f>
        <v>ICH Icheon (242)</v>
      </c>
      <c r="C269" s="439">
        <f>'Input-FX Rates'!$C$6</f>
        <v>750</v>
      </c>
      <c r="D269" s="439" t="str">
        <f>'Input-FX Rates'!$B$6</f>
        <v>750 BU Sensorics &amp; Controls</v>
      </c>
      <c r="E269" s="439" t="str">
        <f>'Input-FX Rates'!$C$5</f>
        <v>7521 &amp; 7522</v>
      </c>
      <c r="F269" s="439" t="str">
        <f>'Input-FX Rates'!$B$5</f>
        <v>7521 &amp; 7522 PL Mechatronic Sensors (&amp; Electrification)</v>
      </c>
      <c r="G269" s="439" t="s">
        <v>689</v>
      </c>
      <c r="H269" s="439" t="s">
        <v>1493</v>
      </c>
      <c r="I269" s="523"/>
      <c r="J269" s="524">
        <f>'10. Purchasing (GC)'!C9</f>
        <v>44.775434482758619</v>
      </c>
      <c r="K269" s="523"/>
      <c r="L269" s="523"/>
      <c r="M269" s="523"/>
      <c r="N269" s="523"/>
      <c r="O269" s="524">
        <f>'10. Purchasing (GC)'!D9</f>
        <v>48.819310344827585</v>
      </c>
      <c r="P269" s="523"/>
      <c r="Q269" s="523"/>
      <c r="R269" s="523"/>
      <c r="S269" s="523"/>
      <c r="T269" s="523"/>
      <c r="U269" s="523"/>
      <c r="V269" s="523"/>
      <c r="W269" s="523"/>
      <c r="X269" s="523"/>
      <c r="Y269" s="523"/>
      <c r="Z269" s="523"/>
      <c r="AA269" s="523"/>
      <c r="AB269" s="523"/>
      <c r="AC269" s="523"/>
      <c r="AD269" s="523"/>
      <c r="AE269" s="523"/>
      <c r="AF269" s="523"/>
      <c r="AG269" s="523"/>
      <c r="AH269" s="523"/>
      <c r="AI269" s="523"/>
      <c r="AJ269" s="523"/>
      <c r="AK269" s="523"/>
      <c r="AL269" s="523"/>
      <c r="AM269" s="523"/>
      <c r="AN269" s="524" t="str">
        <f>'10. Purchasing (GC)'!A9</f>
        <v>DHS missing portion</v>
      </c>
      <c r="AO269" s="439" t="str">
        <f>'10. Purchasing (GC)'!G9</f>
        <v>inclusion for missing data in MODIAS(A2C37836303)</v>
      </c>
      <c r="AP269" s="439">
        <v>279</v>
      </c>
      <c r="AQ269" s="439" t="str">
        <f>Settings!$A$1</f>
        <v>V2</v>
      </c>
    </row>
    <row r="270" spans="1:43" x14ac:dyDescent="0.2">
      <c r="A270" s="439">
        <f>'Input-FX Rates'!$C$4</f>
        <v>242</v>
      </c>
      <c r="B270" s="439" t="str">
        <f>'Input-FX Rates'!$B$4</f>
        <v>ICH Icheon (242)</v>
      </c>
      <c r="C270" s="439">
        <f>'Input-FX Rates'!$C$6</f>
        <v>750</v>
      </c>
      <c r="D270" s="439" t="str">
        <f>'Input-FX Rates'!$B$6</f>
        <v>750 BU Sensorics &amp; Controls</v>
      </c>
      <c r="E270" s="439" t="str">
        <f>'Input-FX Rates'!$C$5</f>
        <v>7521 &amp; 7522</v>
      </c>
      <c r="F270" s="439" t="str">
        <f>'Input-FX Rates'!$B$5</f>
        <v>7521 &amp; 7522 PL Mechatronic Sensors (&amp; Electrification)</v>
      </c>
      <c r="G270" s="439" t="s">
        <v>689</v>
      </c>
      <c r="H270" s="439" t="s">
        <v>1494</v>
      </c>
      <c r="I270" s="523"/>
      <c r="J270" s="524">
        <f>'10. Purchasing (GC)'!C10</f>
        <v>0</v>
      </c>
      <c r="K270" s="523"/>
      <c r="L270" s="523"/>
      <c r="M270" s="523"/>
      <c r="N270" s="523"/>
      <c r="O270" s="524">
        <f>'10. Purchasing (GC)'!D10</f>
        <v>0</v>
      </c>
      <c r="P270" s="523"/>
      <c r="Q270" s="523"/>
      <c r="R270" s="523"/>
      <c r="S270" s="523"/>
      <c r="T270" s="523"/>
      <c r="U270" s="523"/>
      <c r="V270" s="523"/>
      <c r="W270" s="523"/>
      <c r="X270" s="523"/>
      <c r="Y270" s="523"/>
      <c r="Z270" s="523"/>
      <c r="AA270" s="523"/>
      <c r="AB270" s="523"/>
      <c r="AC270" s="523"/>
      <c r="AD270" s="523"/>
      <c r="AE270" s="523"/>
      <c r="AF270" s="523"/>
      <c r="AG270" s="523"/>
      <c r="AH270" s="523"/>
      <c r="AI270" s="523"/>
      <c r="AJ270" s="523"/>
      <c r="AK270" s="523"/>
      <c r="AL270" s="523"/>
      <c r="AM270" s="523"/>
      <c r="AN270" s="524" t="str">
        <f>'10. Purchasing (GC)'!A10</f>
        <v>Specifiy deviation to Modias 2</v>
      </c>
      <c r="AO270" s="439" t="str">
        <f>'10. Purchasing (GC)'!G10</f>
        <v/>
      </c>
      <c r="AP270" s="439">
        <v>280</v>
      </c>
      <c r="AQ270" s="439" t="str">
        <f>Settings!$A$1</f>
        <v>V2</v>
      </c>
    </row>
    <row r="271" spans="1:43" x14ac:dyDescent="0.2">
      <c r="A271" s="439">
        <f>'Input-FX Rates'!$C$4</f>
        <v>242</v>
      </c>
      <c r="B271" s="439" t="str">
        <f>'Input-FX Rates'!$B$4</f>
        <v>ICH Icheon (242)</v>
      </c>
      <c r="C271" s="439">
        <f>'Input-FX Rates'!$C$6</f>
        <v>750</v>
      </c>
      <c r="D271" s="439" t="str">
        <f>'Input-FX Rates'!$B$6</f>
        <v>750 BU Sensorics &amp; Controls</v>
      </c>
      <c r="E271" s="439" t="str">
        <f>'Input-FX Rates'!$C$5</f>
        <v>7521 &amp; 7522</v>
      </c>
      <c r="F271" s="439" t="str">
        <f>'Input-FX Rates'!$B$5</f>
        <v>7521 &amp; 7522 PL Mechatronic Sensors (&amp; Electrification)</v>
      </c>
      <c r="G271" s="439" t="s">
        <v>689</v>
      </c>
      <c r="H271" s="439" t="s">
        <v>1495</v>
      </c>
      <c r="I271" s="523"/>
      <c r="J271" s="524">
        <f>'10. Purchasing (GC)'!C11</f>
        <v>0</v>
      </c>
      <c r="K271" s="523"/>
      <c r="L271" s="523"/>
      <c r="M271" s="523"/>
      <c r="N271" s="523"/>
      <c r="O271" s="524">
        <f>'10. Purchasing (GC)'!D11</f>
        <v>0</v>
      </c>
      <c r="P271" s="523"/>
      <c r="Q271" s="523"/>
      <c r="R271" s="523"/>
      <c r="S271" s="523"/>
      <c r="T271" s="523"/>
      <c r="U271" s="523"/>
      <c r="V271" s="523"/>
      <c r="W271" s="523"/>
      <c r="X271" s="523"/>
      <c r="Y271" s="523"/>
      <c r="Z271" s="523"/>
      <c r="AA271" s="523"/>
      <c r="AB271" s="523"/>
      <c r="AC271" s="523"/>
      <c r="AD271" s="523"/>
      <c r="AE271" s="523"/>
      <c r="AF271" s="523"/>
      <c r="AG271" s="523"/>
      <c r="AH271" s="523"/>
      <c r="AI271" s="523"/>
      <c r="AJ271" s="523"/>
      <c r="AK271" s="523"/>
      <c r="AL271" s="523"/>
      <c r="AM271" s="523"/>
      <c r="AN271" s="524" t="str">
        <f>'10. Purchasing (GC)'!A11</f>
        <v>Specifiy deviation to Modias 3</v>
      </c>
      <c r="AO271" s="439" t="str">
        <f>'10. Purchasing (GC)'!G11</f>
        <v/>
      </c>
      <c r="AP271" s="439">
        <v>281</v>
      </c>
      <c r="AQ271" s="439" t="str">
        <f>Settings!$A$1</f>
        <v>V2</v>
      </c>
    </row>
    <row r="272" spans="1:43" x14ac:dyDescent="0.2">
      <c r="A272" s="439">
        <f>'Input-FX Rates'!$C$4</f>
        <v>242</v>
      </c>
      <c r="B272" s="439" t="str">
        <f>'Input-FX Rates'!$B$4</f>
        <v>ICH Icheon (242)</v>
      </c>
      <c r="C272" s="439">
        <f>'Input-FX Rates'!$C$6</f>
        <v>750</v>
      </c>
      <c r="D272" s="439" t="str">
        <f>'Input-FX Rates'!$B$6</f>
        <v>750 BU Sensorics &amp; Controls</v>
      </c>
      <c r="E272" s="439" t="str">
        <f>'Input-FX Rates'!$C$5</f>
        <v>7521 &amp; 7522</v>
      </c>
      <c r="F272" s="439" t="str">
        <f>'Input-FX Rates'!$B$5</f>
        <v>7521 &amp; 7522 PL Mechatronic Sensors (&amp; Electrification)</v>
      </c>
      <c r="G272" s="439" t="s">
        <v>689</v>
      </c>
      <c r="H272" s="439" t="s">
        <v>1496</v>
      </c>
      <c r="I272" s="523"/>
      <c r="J272" s="524">
        <f>'10. Purchasing (GC)'!C12</f>
        <v>0</v>
      </c>
      <c r="K272" s="523"/>
      <c r="L272" s="523"/>
      <c r="M272" s="523"/>
      <c r="N272" s="523"/>
      <c r="O272" s="524">
        <f>'10. Purchasing (GC)'!D12</f>
        <v>0</v>
      </c>
      <c r="P272" s="523"/>
      <c r="Q272" s="523"/>
      <c r="R272" s="523"/>
      <c r="S272" s="523"/>
      <c r="T272" s="523"/>
      <c r="U272" s="523"/>
      <c r="V272" s="523"/>
      <c r="W272" s="523"/>
      <c r="X272" s="523"/>
      <c r="Y272" s="523"/>
      <c r="Z272" s="523"/>
      <c r="AA272" s="523"/>
      <c r="AB272" s="523"/>
      <c r="AC272" s="523"/>
      <c r="AD272" s="523"/>
      <c r="AE272" s="523"/>
      <c r="AF272" s="523"/>
      <c r="AG272" s="523"/>
      <c r="AH272" s="523"/>
      <c r="AI272" s="523"/>
      <c r="AJ272" s="523"/>
      <c r="AK272" s="523"/>
      <c r="AL272" s="523"/>
      <c r="AM272" s="523"/>
      <c r="AN272" s="524" t="str">
        <f>'10. Purchasing (GC)'!A12</f>
        <v>Specifiy deviation to Modias 4</v>
      </c>
      <c r="AO272" s="439" t="str">
        <f>'10. Purchasing (GC)'!G12</f>
        <v/>
      </c>
      <c r="AP272" s="439">
        <v>282</v>
      </c>
      <c r="AQ272" s="439" t="str">
        <f>Settings!$A$1</f>
        <v>V2</v>
      </c>
    </row>
    <row r="273" spans="1:43" x14ac:dyDescent="0.2">
      <c r="A273" s="439">
        <f>'Input-FX Rates'!$C$4</f>
        <v>242</v>
      </c>
      <c r="B273" s="439" t="str">
        <f>'Input-FX Rates'!$B$4</f>
        <v>ICH Icheon (242)</v>
      </c>
      <c r="C273" s="439">
        <f>'Input-FX Rates'!$C$6</f>
        <v>750</v>
      </c>
      <c r="D273" s="439" t="str">
        <f>'Input-FX Rates'!$B$6</f>
        <v>750 BU Sensorics &amp; Controls</v>
      </c>
      <c r="E273" s="439" t="str">
        <f>'Input-FX Rates'!$C$5</f>
        <v>7521 &amp; 7522</v>
      </c>
      <c r="F273" s="439" t="str">
        <f>'Input-FX Rates'!$B$5</f>
        <v>7521 &amp; 7522 PL Mechatronic Sensors (&amp; Electrification)</v>
      </c>
      <c r="G273" s="439" t="s">
        <v>689</v>
      </c>
      <c r="H273" s="439" t="s">
        <v>1497</v>
      </c>
      <c r="I273" s="523"/>
      <c r="J273" s="524">
        <f>'10. Purchasing (GC)'!C13</f>
        <v>0</v>
      </c>
      <c r="K273" s="523"/>
      <c r="L273" s="523"/>
      <c r="M273" s="523"/>
      <c r="N273" s="523"/>
      <c r="O273" s="524">
        <f>'10. Purchasing (GC)'!D13</f>
        <v>0</v>
      </c>
      <c r="P273" s="523"/>
      <c r="Q273" s="523"/>
      <c r="R273" s="523"/>
      <c r="S273" s="523"/>
      <c r="T273" s="523"/>
      <c r="U273" s="523"/>
      <c r="V273" s="523"/>
      <c r="W273" s="523"/>
      <c r="X273" s="523"/>
      <c r="Y273" s="523"/>
      <c r="Z273" s="523"/>
      <c r="AA273" s="523"/>
      <c r="AB273" s="523"/>
      <c r="AC273" s="523"/>
      <c r="AD273" s="523"/>
      <c r="AE273" s="523"/>
      <c r="AF273" s="523"/>
      <c r="AG273" s="523"/>
      <c r="AH273" s="523"/>
      <c r="AI273" s="523"/>
      <c r="AJ273" s="523"/>
      <c r="AK273" s="523"/>
      <c r="AL273" s="523"/>
      <c r="AM273" s="523"/>
      <c r="AN273" s="524" t="str">
        <f>'10. Purchasing (GC)'!A13</f>
        <v>Specifiy deviation to Modias 5</v>
      </c>
      <c r="AO273" s="439" t="str">
        <f>'10. Purchasing (GC)'!G13</f>
        <v/>
      </c>
      <c r="AP273" s="439">
        <v>283</v>
      </c>
      <c r="AQ273" s="439" t="str">
        <f>Settings!$A$1</f>
        <v>V2</v>
      </c>
    </row>
    <row r="274" spans="1:43" s="525" customFormat="1" x14ac:dyDescent="0.2">
      <c r="A274" s="525">
        <f>'Input-FX Rates'!$C$4</f>
        <v>242</v>
      </c>
      <c r="B274" s="525" t="str">
        <f>'Input-FX Rates'!$B$4</f>
        <v>ICH Icheon (242)</v>
      </c>
      <c r="C274" s="525">
        <f>'Input-FX Rates'!$C$6</f>
        <v>750</v>
      </c>
      <c r="D274" s="525" t="str">
        <f>'Input-FX Rates'!$B$6</f>
        <v>750 BU Sensorics &amp; Controls</v>
      </c>
      <c r="E274" s="525" t="str">
        <f>'Input-FX Rates'!$C$5</f>
        <v>7521 &amp; 7522</v>
      </c>
      <c r="F274" s="525" t="str">
        <f>'Input-FX Rates'!$B$5</f>
        <v>7521 &amp; 7522 PL Mechatronic Sensors (&amp; Electrification)</v>
      </c>
      <c r="G274" s="525" t="s">
        <v>689</v>
      </c>
      <c r="H274" s="525" t="s">
        <v>707</v>
      </c>
      <c r="I274" s="526"/>
      <c r="J274" s="527">
        <f>'10. Purchasing (GC)'!C14</f>
        <v>7382.8517451827583</v>
      </c>
      <c r="K274" s="526"/>
      <c r="L274" s="526"/>
      <c r="M274" s="526"/>
      <c r="N274" s="526"/>
      <c r="O274" s="527">
        <f>'10. Purchasing (GC)'!D14</f>
        <v>7284.2407126448261</v>
      </c>
      <c r="P274" s="526"/>
      <c r="Q274" s="526"/>
      <c r="R274" s="526"/>
      <c r="S274" s="526"/>
      <c r="T274" s="526"/>
      <c r="U274" s="526"/>
      <c r="V274" s="526"/>
      <c r="W274" s="526"/>
      <c r="X274" s="526"/>
      <c r="Y274" s="526"/>
      <c r="Z274" s="526"/>
      <c r="AA274" s="526"/>
      <c r="AB274" s="526"/>
      <c r="AC274" s="526"/>
      <c r="AD274" s="526"/>
      <c r="AE274" s="526"/>
      <c r="AF274" s="526"/>
      <c r="AG274" s="526"/>
      <c r="AH274" s="526"/>
      <c r="AI274" s="526"/>
      <c r="AJ274" s="526"/>
      <c r="AK274" s="526"/>
      <c r="AL274" s="526"/>
      <c r="AM274" s="526"/>
      <c r="AN274" s="526"/>
      <c r="AO274" s="525" t="str">
        <f>'10. Purchasing (GC)'!G14</f>
        <v/>
      </c>
      <c r="AP274" s="525">
        <v>284</v>
      </c>
      <c r="AQ274" s="525" t="str">
        <f>Settings!$A$1</f>
        <v>V2</v>
      </c>
    </row>
    <row r="275" spans="1:43" x14ac:dyDescent="0.2">
      <c r="A275" s="439">
        <f>'Input-FX Rates'!$C$4</f>
        <v>242</v>
      </c>
      <c r="B275" s="439" t="str">
        <f>'Input-FX Rates'!$B$4</f>
        <v>ICH Icheon (242)</v>
      </c>
      <c r="C275" s="439">
        <f>'Input-FX Rates'!$C$6</f>
        <v>750</v>
      </c>
      <c r="D275" s="439" t="str">
        <f>'Input-FX Rates'!$B$6</f>
        <v>750 BU Sensorics &amp; Controls</v>
      </c>
      <c r="E275" s="439" t="str">
        <f>'Input-FX Rates'!$C$5</f>
        <v>7521 &amp; 7522</v>
      </c>
      <c r="F275" s="439" t="str">
        <f>'Input-FX Rates'!$B$5</f>
        <v>7521 &amp; 7522 PL Mechatronic Sensors (&amp; Electrification)</v>
      </c>
      <c r="G275" s="439" t="s">
        <v>1498</v>
      </c>
      <c r="H275" s="439" t="s">
        <v>1499</v>
      </c>
      <c r="I275" s="523"/>
      <c r="J275" s="523"/>
      <c r="K275" s="523"/>
      <c r="L275" s="523"/>
      <c r="M275" s="523"/>
      <c r="N275" s="523"/>
      <c r="O275" s="523"/>
      <c r="P275" s="523"/>
      <c r="Q275" s="523"/>
      <c r="R275" s="523"/>
      <c r="S275" s="523"/>
      <c r="T275" s="523"/>
      <c r="U275" s="523"/>
      <c r="V275" s="523"/>
      <c r="W275" s="523"/>
      <c r="X275" s="523"/>
      <c r="Y275" s="523"/>
      <c r="Z275" s="523"/>
      <c r="AA275" s="523"/>
      <c r="AB275" s="523"/>
      <c r="AC275" s="523"/>
      <c r="AD275" s="523"/>
      <c r="AE275" s="523"/>
      <c r="AF275" s="523"/>
      <c r="AG275" s="523"/>
      <c r="AH275" s="523"/>
      <c r="AI275" s="524">
        <f>'11. R&amp;O (GC)'!B6</f>
        <v>0</v>
      </c>
      <c r="AJ275" s="524">
        <f>'11. R&amp;O (GC)'!C6</f>
        <v>0</v>
      </c>
      <c r="AK275" s="524">
        <f>'11. R&amp;O (GC)'!D6</f>
        <v>0</v>
      </c>
      <c r="AL275" s="524"/>
      <c r="AM275" s="524"/>
      <c r="AN275" s="439" t="str">
        <f>'11. R&amp;O (GC)'!A6</f>
        <v>Additional MOU Overstock Risk ( Value not yet defined)</v>
      </c>
      <c r="AO275" s="523"/>
      <c r="AP275" s="439">
        <v>285</v>
      </c>
      <c r="AQ275" s="439" t="str">
        <f>Settings!$A$1</f>
        <v>V2</v>
      </c>
    </row>
    <row r="276" spans="1:43" x14ac:dyDescent="0.2">
      <c r="A276" s="439">
        <f>'Input-FX Rates'!$C$4</f>
        <v>242</v>
      </c>
      <c r="B276" s="439" t="str">
        <f>'Input-FX Rates'!$B$4</f>
        <v>ICH Icheon (242)</v>
      </c>
      <c r="C276" s="439">
        <f>'Input-FX Rates'!$C$6</f>
        <v>750</v>
      </c>
      <c r="D276" s="439" t="str">
        <f>'Input-FX Rates'!$B$6</f>
        <v>750 BU Sensorics &amp; Controls</v>
      </c>
      <c r="E276" s="439" t="str">
        <f>'Input-FX Rates'!$C$5</f>
        <v>7521 &amp; 7522</v>
      </c>
      <c r="F276" s="439" t="str">
        <f>'Input-FX Rates'!$B$5</f>
        <v>7521 &amp; 7522 PL Mechatronic Sensors (&amp; Electrification)</v>
      </c>
      <c r="G276" s="439" t="s">
        <v>1498</v>
      </c>
      <c r="H276" s="439" t="s">
        <v>714</v>
      </c>
      <c r="I276" s="523"/>
      <c r="J276" s="523"/>
      <c r="K276" s="523"/>
      <c r="L276" s="523"/>
      <c r="M276" s="523"/>
      <c r="N276" s="523"/>
      <c r="O276" s="523"/>
      <c r="P276" s="523"/>
      <c r="Q276" s="523"/>
      <c r="R276" s="523"/>
      <c r="S276" s="523"/>
      <c r="T276" s="523"/>
      <c r="U276" s="523"/>
      <c r="V276" s="523"/>
      <c r="W276" s="523"/>
      <c r="X276" s="523"/>
      <c r="Y276" s="523"/>
      <c r="Z276" s="523"/>
      <c r="AA276" s="523"/>
      <c r="AB276" s="523"/>
      <c r="AC276" s="523"/>
      <c r="AD276" s="523"/>
      <c r="AE276" s="523"/>
      <c r="AF276" s="523"/>
      <c r="AG276" s="523"/>
      <c r="AH276" s="523"/>
      <c r="AI276" s="524">
        <f>'11. R&amp;O (GC)'!B7</f>
        <v>0</v>
      </c>
      <c r="AJ276" s="524">
        <f>'11. R&amp;O (GC)'!C7</f>
        <v>0</v>
      </c>
      <c r="AK276" s="524">
        <f>'11. R&amp;O (GC)'!D7</f>
        <v>0</v>
      </c>
      <c r="AL276" s="524"/>
      <c r="AM276" s="524"/>
      <c r="AN276" s="439" t="str">
        <f>'11. R&amp;O (GC)'!A7</f>
        <v>Risk 2</v>
      </c>
      <c r="AO276" s="523"/>
      <c r="AP276" s="439">
        <v>286</v>
      </c>
      <c r="AQ276" s="439" t="str">
        <f>Settings!$A$1</f>
        <v>V2</v>
      </c>
    </row>
    <row r="277" spans="1:43" x14ac:dyDescent="0.2">
      <c r="A277" s="439">
        <f>'Input-FX Rates'!$C$4</f>
        <v>242</v>
      </c>
      <c r="B277" s="439" t="str">
        <f>'Input-FX Rates'!$B$4</f>
        <v>ICH Icheon (242)</v>
      </c>
      <c r="C277" s="439">
        <f>'Input-FX Rates'!$C$6</f>
        <v>750</v>
      </c>
      <c r="D277" s="439" t="str">
        <f>'Input-FX Rates'!$B$6</f>
        <v>750 BU Sensorics &amp; Controls</v>
      </c>
      <c r="E277" s="439" t="str">
        <f>'Input-FX Rates'!$C$5</f>
        <v>7521 &amp; 7522</v>
      </c>
      <c r="F277" s="439" t="str">
        <f>'Input-FX Rates'!$B$5</f>
        <v>7521 &amp; 7522 PL Mechatronic Sensors (&amp; Electrification)</v>
      </c>
      <c r="G277" s="439" t="s">
        <v>1498</v>
      </c>
      <c r="H277" s="439" t="s">
        <v>715</v>
      </c>
      <c r="I277" s="523"/>
      <c r="J277" s="523"/>
      <c r="K277" s="523"/>
      <c r="L277" s="523"/>
      <c r="M277" s="523"/>
      <c r="N277" s="523"/>
      <c r="O277" s="523"/>
      <c r="P277" s="523"/>
      <c r="Q277" s="523"/>
      <c r="R277" s="523"/>
      <c r="S277" s="523"/>
      <c r="T277" s="523"/>
      <c r="U277" s="523"/>
      <c r="V277" s="523"/>
      <c r="W277" s="523"/>
      <c r="X277" s="523"/>
      <c r="Y277" s="523"/>
      <c r="Z277" s="523"/>
      <c r="AA277" s="523"/>
      <c r="AB277" s="523"/>
      <c r="AC277" s="523"/>
      <c r="AD277" s="523"/>
      <c r="AE277" s="523"/>
      <c r="AF277" s="523"/>
      <c r="AG277" s="523"/>
      <c r="AH277" s="523"/>
      <c r="AI277" s="524">
        <f>'11. R&amp;O (GC)'!B8</f>
        <v>0</v>
      </c>
      <c r="AJ277" s="524">
        <f>'11. R&amp;O (GC)'!C8</f>
        <v>0</v>
      </c>
      <c r="AK277" s="524">
        <f>'11. R&amp;O (GC)'!D8</f>
        <v>0</v>
      </c>
      <c r="AL277" s="524"/>
      <c r="AM277" s="524"/>
      <c r="AN277" s="439" t="str">
        <f>'11. R&amp;O (GC)'!A8</f>
        <v>Risk 3</v>
      </c>
      <c r="AO277" s="523"/>
      <c r="AP277" s="439">
        <v>287</v>
      </c>
      <c r="AQ277" s="439" t="str">
        <f>Settings!$A$1</f>
        <v>V2</v>
      </c>
    </row>
    <row r="278" spans="1:43" x14ac:dyDescent="0.2">
      <c r="A278" s="439">
        <f>'Input-FX Rates'!$C$4</f>
        <v>242</v>
      </c>
      <c r="B278" s="439" t="str">
        <f>'Input-FX Rates'!$B$4</f>
        <v>ICH Icheon (242)</v>
      </c>
      <c r="C278" s="439">
        <f>'Input-FX Rates'!$C$6</f>
        <v>750</v>
      </c>
      <c r="D278" s="439" t="str">
        <f>'Input-FX Rates'!$B$6</f>
        <v>750 BU Sensorics &amp; Controls</v>
      </c>
      <c r="E278" s="439" t="str">
        <f>'Input-FX Rates'!$C$5</f>
        <v>7521 &amp; 7522</v>
      </c>
      <c r="F278" s="439" t="str">
        <f>'Input-FX Rates'!$B$5</f>
        <v>7521 &amp; 7522 PL Mechatronic Sensors (&amp; Electrification)</v>
      </c>
      <c r="G278" s="439" t="s">
        <v>1498</v>
      </c>
      <c r="H278" s="439" t="s">
        <v>716</v>
      </c>
      <c r="I278" s="523"/>
      <c r="J278" s="523"/>
      <c r="K278" s="523"/>
      <c r="L278" s="523"/>
      <c r="M278" s="523"/>
      <c r="N278" s="523"/>
      <c r="O278" s="523"/>
      <c r="P278" s="523"/>
      <c r="Q278" s="523"/>
      <c r="R278" s="523"/>
      <c r="S278" s="523"/>
      <c r="T278" s="523"/>
      <c r="U278" s="523"/>
      <c r="V278" s="523"/>
      <c r="W278" s="523"/>
      <c r="X278" s="523"/>
      <c r="Y278" s="523"/>
      <c r="Z278" s="523"/>
      <c r="AA278" s="523"/>
      <c r="AB278" s="523"/>
      <c r="AC278" s="523"/>
      <c r="AD278" s="523"/>
      <c r="AE278" s="523"/>
      <c r="AF278" s="523"/>
      <c r="AG278" s="523"/>
      <c r="AH278" s="523"/>
      <c r="AI278" s="524">
        <f>'11. R&amp;O (GC)'!B9</f>
        <v>0</v>
      </c>
      <c r="AJ278" s="524">
        <f>'11. R&amp;O (GC)'!C9</f>
        <v>0</v>
      </c>
      <c r="AK278" s="524">
        <f>'11. R&amp;O (GC)'!D9</f>
        <v>0</v>
      </c>
      <c r="AL278" s="524"/>
      <c r="AM278" s="524"/>
      <c r="AN278" s="439" t="str">
        <f>'11. R&amp;O (GC)'!A9</f>
        <v>Risk 4</v>
      </c>
      <c r="AO278" s="523"/>
      <c r="AP278" s="439">
        <v>288</v>
      </c>
      <c r="AQ278" s="439" t="str">
        <f>Settings!$A$1</f>
        <v>V2</v>
      </c>
    </row>
    <row r="279" spans="1:43" x14ac:dyDescent="0.2">
      <c r="A279" s="439">
        <f>'Input-FX Rates'!$C$4</f>
        <v>242</v>
      </c>
      <c r="B279" s="439" t="str">
        <f>'Input-FX Rates'!$B$4</f>
        <v>ICH Icheon (242)</v>
      </c>
      <c r="C279" s="439">
        <f>'Input-FX Rates'!$C$6</f>
        <v>750</v>
      </c>
      <c r="D279" s="439" t="str">
        <f>'Input-FX Rates'!$B$6</f>
        <v>750 BU Sensorics &amp; Controls</v>
      </c>
      <c r="E279" s="439" t="str">
        <f>'Input-FX Rates'!$C$5</f>
        <v>7521 &amp; 7522</v>
      </c>
      <c r="F279" s="439" t="str">
        <f>'Input-FX Rates'!$B$5</f>
        <v>7521 &amp; 7522 PL Mechatronic Sensors (&amp; Electrification)</v>
      </c>
      <c r="G279" s="439" t="s">
        <v>1498</v>
      </c>
      <c r="H279" s="439" t="s">
        <v>717</v>
      </c>
      <c r="I279" s="523"/>
      <c r="J279" s="523"/>
      <c r="K279" s="523"/>
      <c r="L279" s="523"/>
      <c r="M279" s="523"/>
      <c r="N279" s="523"/>
      <c r="O279" s="523"/>
      <c r="P279" s="523"/>
      <c r="Q279" s="523"/>
      <c r="R279" s="523"/>
      <c r="S279" s="523"/>
      <c r="T279" s="523"/>
      <c r="U279" s="523"/>
      <c r="V279" s="523"/>
      <c r="W279" s="523"/>
      <c r="X279" s="523"/>
      <c r="Y279" s="523"/>
      <c r="Z279" s="523"/>
      <c r="AA279" s="523"/>
      <c r="AB279" s="523"/>
      <c r="AC279" s="523"/>
      <c r="AD279" s="523"/>
      <c r="AE279" s="523"/>
      <c r="AF279" s="523"/>
      <c r="AG279" s="523"/>
      <c r="AH279" s="523"/>
      <c r="AI279" s="524">
        <f>'11. R&amp;O (GC)'!B10</f>
        <v>0</v>
      </c>
      <c r="AJ279" s="524">
        <f>'11. R&amp;O (GC)'!C10</f>
        <v>0</v>
      </c>
      <c r="AK279" s="524">
        <f>'11. R&amp;O (GC)'!D10</f>
        <v>0</v>
      </c>
      <c r="AL279" s="524"/>
      <c r="AM279" s="524"/>
      <c r="AN279" s="439" t="str">
        <f>'11. R&amp;O (GC)'!A10</f>
        <v>Risk 5</v>
      </c>
      <c r="AO279" s="523"/>
      <c r="AP279" s="439">
        <v>289</v>
      </c>
      <c r="AQ279" s="439" t="str">
        <f>Settings!$A$1</f>
        <v>V2</v>
      </c>
    </row>
    <row r="280" spans="1:43" x14ac:dyDescent="0.2">
      <c r="A280" s="439">
        <f>'Input-FX Rates'!$C$4</f>
        <v>242</v>
      </c>
      <c r="B280" s="439" t="str">
        <f>'Input-FX Rates'!$B$4</f>
        <v>ICH Icheon (242)</v>
      </c>
      <c r="C280" s="439">
        <f>'Input-FX Rates'!$C$6</f>
        <v>750</v>
      </c>
      <c r="D280" s="439" t="str">
        <f>'Input-FX Rates'!$B$6</f>
        <v>750 BU Sensorics &amp; Controls</v>
      </c>
      <c r="E280" s="439" t="str">
        <f>'Input-FX Rates'!$C$5</f>
        <v>7521 &amp; 7522</v>
      </c>
      <c r="F280" s="439" t="str">
        <f>'Input-FX Rates'!$B$5</f>
        <v>7521 &amp; 7522 PL Mechatronic Sensors (&amp; Electrification)</v>
      </c>
      <c r="G280" s="439" t="s">
        <v>1498</v>
      </c>
      <c r="H280" s="439" t="s">
        <v>718</v>
      </c>
      <c r="I280" s="523"/>
      <c r="J280" s="523"/>
      <c r="K280" s="523"/>
      <c r="L280" s="523"/>
      <c r="M280" s="523"/>
      <c r="N280" s="523"/>
      <c r="O280" s="523"/>
      <c r="P280" s="523"/>
      <c r="Q280" s="523"/>
      <c r="R280" s="523"/>
      <c r="S280" s="523"/>
      <c r="T280" s="523"/>
      <c r="U280" s="523"/>
      <c r="V280" s="523"/>
      <c r="W280" s="523"/>
      <c r="X280" s="523"/>
      <c r="Y280" s="523"/>
      <c r="Z280" s="523"/>
      <c r="AA280" s="523"/>
      <c r="AB280" s="523"/>
      <c r="AC280" s="523"/>
      <c r="AD280" s="523"/>
      <c r="AE280" s="523"/>
      <c r="AF280" s="523"/>
      <c r="AG280" s="523"/>
      <c r="AH280" s="523"/>
      <c r="AI280" s="524">
        <f>'11. R&amp;O (GC)'!B11</f>
        <v>0</v>
      </c>
      <c r="AJ280" s="524">
        <f>'11. R&amp;O (GC)'!C11</f>
        <v>0</v>
      </c>
      <c r="AK280" s="524">
        <f>'11. R&amp;O (GC)'!D11</f>
        <v>0</v>
      </c>
      <c r="AL280" s="524"/>
      <c r="AM280" s="524"/>
      <c r="AN280" s="439" t="str">
        <f>'11. R&amp;O (GC)'!A11</f>
        <v>Risk 6</v>
      </c>
      <c r="AO280" s="523"/>
      <c r="AP280" s="439">
        <v>290</v>
      </c>
      <c r="AQ280" s="439" t="str">
        <f>Settings!$A$1</f>
        <v>V2</v>
      </c>
    </row>
    <row r="281" spans="1:43" x14ac:dyDescent="0.2">
      <c r="A281" s="439">
        <f>'Input-FX Rates'!$C$4</f>
        <v>242</v>
      </c>
      <c r="B281" s="439" t="str">
        <f>'Input-FX Rates'!$B$4</f>
        <v>ICH Icheon (242)</v>
      </c>
      <c r="C281" s="439">
        <f>'Input-FX Rates'!$C$6</f>
        <v>750</v>
      </c>
      <c r="D281" s="439" t="str">
        <f>'Input-FX Rates'!$B$6</f>
        <v>750 BU Sensorics &amp; Controls</v>
      </c>
      <c r="E281" s="439" t="str">
        <f>'Input-FX Rates'!$C$5</f>
        <v>7521 &amp; 7522</v>
      </c>
      <c r="F281" s="439" t="str">
        <f>'Input-FX Rates'!$B$5</f>
        <v>7521 &amp; 7522 PL Mechatronic Sensors (&amp; Electrification)</v>
      </c>
      <c r="G281" s="439" t="s">
        <v>1498</v>
      </c>
      <c r="H281" s="439" t="s">
        <v>719</v>
      </c>
      <c r="I281" s="523"/>
      <c r="J281" s="523"/>
      <c r="K281" s="523"/>
      <c r="L281" s="523"/>
      <c r="M281" s="523"/>
      <c r="N281" s="523"/>
      <c r="O281" s="523"/>
      <c r="P281" s="523"/>
      <c r="Q281" s="523"/>
      <c r="R281" s="523"/>
      <c r="S281" s="523"/>
      <c r="T281" s="523"/>
      <c r="U281" s="523"/>
      <c r="V281" s="523"/>
      <c r="W281" s="523"/>
      <c r="X281" s="523"/>
      <c r="Y281" s="523"/>
      <c r="Z281" s="523"/>
      <c r="AA281" s="523"/>
      <c r="AB281" s="523"/>
      <c r="AC281" s="523"/>
      <c r="AD281" s="523"/>
      <c r="AE281" s="523"/>
      <c r="AF281" s="523"/>
      <c r="AG281" s="523"/>
      <c r="AH281" s="523"/>
      <c r="AI281" s="524">
        <f>'11. R&amp;O (GC)'!B12</f>
        <v>0</v>
      </c>
      <c r="AJ281" s="524">
        <f>'11. R&amp;O (GC)'!C12</f>
        <v>0</v>
      </c>
      <c r="AK281" s="524">
        <f>'11. R&amp;O (GC)'!D12</f>
        <v>0</v>
      </c>
      <c r="AL281" s="524"/>
      <c r="AM281" s="524"/>
      <c r="AN281" s="439" t="str">
        <f>'11. R&amp;O (GC)'!A12</f>
        <v>Risk 7</v>
      </c>
      <c r="AO281" s="523"/>
      <c r="AP281" s="439">
        <v>291</v>
      </c>
      <c r="AQ281" s="439" t="str">
        <f>Settings!$A$1</f>
        <v>V2</v>
      </c>
    </row>
    <row r="282" spans="1:43" x14ac:dyDescent="0.2">
      <c r="A282" s="439">
        <f>'Input-FX Rates'!$C$4</f>
        <v>242</v>
      </c>
      <c r="B282" s="439" t="str">
        <f>'Input-FX Rates'!$B$4</f>
        <v>ICH Icheon (242)</v>
      </c>
      <c r="C282" s="439">
        <f>'Input-FX Rates'!$C$6</f>
        <v>750</v>
      </c>
      <c r="D282" s="439" t="str">
        <f>'Input-FX Rates'!$B$6</f>
        <v>750 BU Sensorics &amp; Controls</v>
      </c>
      <c r="E282" s="439" t="str">
        <f>'Input-FX Rates'!$C$5</f>
        <v>7521 &amp; 7522</v>
      </c>
      <c r="F282" s="439" t="str">
        <f>'Input-FX Rates'!$B$5</f>
        <v>7521 &amp; 7522 PL Mechatronic Sensors (&amp; Electrification)</v>
      </c>
      <c r="G282" s="439" t="s">
        <v>1498</v>
      </c>
      <c r="H282" s="439" t="s">
        <v>720</v>
      </c>
      <c r="I282" s="523"/>
      <c r="J282" s="523"/>
      <c r="K282" s="523"/>
      <c r="L282" s="523"/>
      <c r="M282" s="523"/>
      <c r="N282" s="523"/>
      <c r="O282" s="523"/>
      <c r="P282" s="523"/>
      <c r="Q282" s="523"/>
      <c r="R282" s="523"/>
      <c r="S282" s="523"/>
      <c r="T282" s="523"/>
      <c r="U282" s="523"/>
      <c r="V282" s="523"/>
      <c r="W282" s="523"/>
      <c r="X282" s="523"/>
      <c r="Y282" s="523"/>
      <c r="Z282" s="523"/>
      <c r="AA282" s="523"/>
      <c r="AB282" s="523"/>
      <c r="AC282" s="523"/>
      <c r="AD282" s="523"/>
      <c r="AE282" s="523"/>
      <c r="AF282" s="523"/>
      <c r="AG282" s="523"/>
      <c r="AH282" s="523"/>
      <c r="AI282" s="524">
        <f>'11. R&amp;O (GC)'!B13</f>
        <v>0</v>
      </c>
      <c r="AJ282" s="524">
        <f>'11. R&amp;O (GC)'!C13</f>
        <v>0</v>
      </c>
      <c r="AK282" s="524">
        <f>'11. R&amp;O (GC)'!D13</f>
        <v>0</v>
      </c>
      <c r="AL282" s="524"/>
      <c r="AM282" s="524"/>
      <c r="AN282" s="439" t="str">
        <f>'11. R&amp;O (GC)'!A13</f>
        <v>Risk 8</v>
      </c>
      <c r="AO282" s="523"/>
      <c r="AP282" s="439">
        <v>292</v>
      </c>
      <c r="AQ282" s="439" t="str">
        <f>Settings!$A$1</f>
        <v>V2</v>
      </c>
    </row>
    <row r="283" spans="1:43" x14ac:dyDescent="0.2">
      <c r="A283" s="439">
        <f>'Input-FX Rates'!$C$4</f>
        <v>242</v>
      </c>
      <c r="B283" s="439" t="str">
        <f>'Input-FX Rates'!$B$4</f>
        <v>ICH Icheon (242)</v>
      </c>
      <c r="C283" s="439">
        <f>'Input-FX Rates'!$C$6</f>
        <v>750</v>
      </c>
      <c r="D283" s="439" t="str">
        <f>'Input-FX Rates'!$B$6</f>
        <v>750 BU Sensorics &amp; Controls</v>
      </c>
      <c r="E283" s="439" t="str">
        <f>'Input-FX Rates'!$C$5</f>
        <v>7521 &amp; 7522</v>
      </c>
      <c r="F283" s="439" t="str">
        <f>'Input-FX Rates'!$B$5</f>
        <v>7521 &amp; 7522 PL Mechatronic Sensors (&amp; Electrification)</v>
      </c>
      <c r="G283" s="439" t="s">
        <v>1498</v>
      </c>
      <c r="H283" s="439" t="s">
        <v>721</v>
      </c>
      <c r="I283" s="523"/>
      <c r="J283" s="523"/>
      <c r="K283" s="523"/>
      <c r="L283" s="523"/>
      <c r="M283" s="523"/>
      <c r="N283" s="523"/>
      <c r="O283" s="523"/>
      <c r="P283" s="523"/>
      <c r="Q283" s="523"/>
      <c r="R283" s="523"/>
      <c r="S283" s="523"/>
      <c r="T283" s="523"/>
      <c r="U283" s="523"/>
      <c r="V283" s="523"/>
      <c r="W283" s="523"/>
      <c r="X283" s="523"/>
      <c r="Y283" s="523"/>
      <c r="Z283" s="523"/>
      <c r="AA283" s="523"/>
      <c r="AB283" s="523"/>
      <c r="AC283" s="523"/>
      <c r="AD283" s="523"/>
      <c r="AE283" s="523"/>
      <c r="AF283" s="523"/>
      <c r="AG283" s="523"/>
      <c r="AH283" s="523"/>
      <c r="AI283" s="524">
        <f>'11. R&amp;O (GC)'!B14</f>
        <v>0</v>
      </c>
      <c r="AJ283" s="524">
        <f>'11. R&amp;O (GC)'!C14</f>
        <v>0</v>
      </c>
      <c r="AK283" s="524">
        <f>'11. R&amp;O (GC)'!D14</f>
        <v>0</v>
      </c>
      <c r="AL283" s="524"/>
      <c r="AM283" s="524"/>
      <c r="AN283" s="439" t="str">
        <f>'11. R&amp;O (GC)'!A14</f>
        <v>Risk 9</v>
      </c>
      <c r="AO283" s="523"/>
      <c r="AP283" s="439">
        <v>293</v>
      </c>
      <c r="AQ283" s="439" t="str">
        <f>Settings!$A$1</f>
        <v>V2</v>
      </c>
    </row>
    <row r="284" spans="1:43" x14ac:dyDescent="0.2">
      <c r="A284" s="439">
        <f>'Input-FX Rates'!$C$4</f>
        <v>242</v>
      </c>
      <c r="B284" s="439" t="str">
        <f>'Input-FX Rates'!$B$4</f>
        <v>ICH Icheon (242)</v>
      </c>
      <c r="C284" s="439">
        <f>'Input-FX Rates'!$C$6</f>
        <v>750</v>
      </c>
      <c r="D284" s="439" t="str">
        <f>'Input-FX Rates'!$B$6</f>
        <v>750 BU Sensorics &amp; Controls</v>
      </c>
      <c r="E284" s="439" t="str">
        <f>'Input-FX Rates'!$C$5</f>
        <v>7521 &amp; 7522</v>
      </c>
      <c r="F284" s="439" t="str">
        <f>'Input-FX Rates'!$B$5</f>
        <v>7521 &amp; 7522 PL Mechatronic Sensors (&amp; Electrification)</v>
      </c>
      <c r="G284" s="439" t="s">
        <v>1498</v>
      </c>
      <c r="H284" s="439" t="s">
        <v>722</v>
      </c>
      <c r="I284" s="523"/>
      <c r="J284" s="523"/>
      <c r="K284" s="523"/>
      <c r="L284" s="523"/>
      <c r="M284" s="523"/>
      <c r="N284" s="523"/>
      <c r="O284" s="523"/>
      <c r="P284" s="523"/>
      <c r="Q284" s="523"/>
      <c r="R284" s="523"/>
      <c r="S284" s="523"/>
      <c r="T284" s="523"/>
      <c r="U284" s="523"/>
      <c r="V284" s="523"/>
      <c r="W284" s="523"/>
      <c r="X284" s="523"/>
      <c r="Y284" s="523"/>
      <c r="Z284" s="523"/>
      <c r="AA284" s="523"/>
      <c r="AB284" s="523"/>
      <c r="AC284" s="523"/>
      <c r="AD284" s="523"/>
      <c r="AE284" s="523"/>
      <c r="AF284" s="523"/>
      <c r="AG284" s="523"/>
      <c r="AH284" s="523"/>
      <c r="AI284" s="524">
        <f>'11. R&amp;O (GC)'!B15</f>
        <v>0</v>
      </c>
      <c r="AJ284" s="524">
        <f>'11. R&amp;O (GC)'!C15</f>
        <v>0</v>
      </c>
      <c r="AK284" s="524">
        <f>'11. R&amp;O (GC)'!D15</f>
        <v>0</v>
      </c>
      <c r="AL284" s="524"/>
      <c r="AM284" s="524"/>
      <c r="AN284" s="439" t="str">
        <f>'11. R&amp;O (GC)'!A15</f>
        <v>Total Risks</v>
      </c>
      <c r="AO284" s="523"/>
      <c r="AP284" s="439">
        <v>294</v>
      </c>
      <c r="AQ284" s="439" t="str">
        <f>Settings!$A$1</f>
        <v>V2</v>
      </c>
    </row>
    <row r="285" spans="1:43" x14ac:dyDescent="0.2">
      <c r="A285" s="439">
        <f>'Input-FX Rates'!$C$4</f>
        <v>242</v>
      </c>
      <c r="B285" s="439" t="str">
        <f>'Input-FX Rates'!$B$4</f>
        <v>ICH Icheon (242)</v>
      </c>
      <c r="C285" s="439">
        <f>'Input-FX Rates'!$C$6</f>
        <v>750</v>
      </c>
      <c r="D285" s="439" t="str">
        <f>'Input-FX Rates'!$B$6</f>
        <v>750 BU Sensorics &amp; Controls</v>
      </c>
      <c r="E285" s="439" t="str">
        <f>'Input-FX Rates'!$C$5</f>
        <v>7521 &amp; 7522</v>
      </c>
      <c r="F285" s="439" t="str">
        <f>'Input-FX Rates'!$B$5</f>
        <v>7521 &amp; 7522 PL Mechatronic Sensors (&amp; Electrification)</v>
      </c>
      <c r="G285" s="439" t="s">
        <v>1498</v>
      </c>
      <c r="H285" s="439" t="s">
        <v>1500</v>
      </c>
      <c r="I285" s="523"/>
      <c r="J285" s="523"/>
      <c r="K285" s="523"/>
      <c r="L285" s="523"/>
      <c r="M285" s="523"/>
      <c r="N285" s="523"/>
      <c r="O285" s="523"/>
      <c r="P285" s="523"/>
      <c r="Q285" s="523"/>
      <c r="R285" s="523"/>
      <c r="S285" s="523"/>
      <c r="T285" s="523"/>
      <c r="U285" s="523"/>
      <c r="V285" s="523"/>
      <c r="W285" s="523"/>
      <c r="X285" s="523"/>
      <c r="Y285" s="523"/>
      <c r="Z285" s="523"/>
      <c r="AA285" s="523"/>
      <c r="AB285" s="523"/>
      <c r="AC285" s="523"/>
      <c r="AD285" s="523"/>
      <c r="AE285" s="523"/>
      <c r="AF285" s="523"/>
      <c r="AG285" s="523"/>
      <c r="AH285" s="523"/>
      <c r="AI285" s="524">
        <f>'11. R&amp;O (GC)'!B16</f>
        <v>0</v>
      </c>
      <c r="AJ285" s="524">
        <f>'11. R&amp;O (GC)'!C16</f>
        <v>69.60723310344828</v>
      </c>
      <c r="AK285" s="524">
        <f>'11. R&amp;O (GC)'!D16</f>
        <v>69.60723310344828</v>
      </c>
      <c r="AL285" s="524"/>
      <c r="AM285" s="524"/>
      <c r="AN285" s="439" t="str">
        <f>'11. R&amp;O (GC)'!A16</f>
        <v>Subcontractor price negotiation</v>
      </c>
      <c r="AO285" s="523"/>
      <c r="AP285" s="439">
        <v>295</v>
      </c>
      <c r="AQ285" s="439" t="str">
        <f>Settings!$A$1</f>
        <v>V2</v>
      </c>
    </row>
    <row r="286" spans="1:43" x14ac:dyDescent="0.2">
      <c r="A286" s="439">
        <f>'Input-FX Rates'!$C$4</f>
        <v>242</v>
      </c>
      <c r="B286" s="439" t="str">
        <f>'Input-FX Rates'!$B$4</f>
        <v>ICH Icheon (242)</v>
      </c>
      <c r="C286" s="439">
        <f>'Input-FX Rates'!$C$6</f>
        <v>750</v>
      </c>
      <c r="D286" s="439" t="str">
        <f>'Input-FX Rates'!$B$6</f>
        <v>750 BU Sensorics &amp; Controls</v>
      </c>
      <c r="E286" s="439" t="str">
        <f>'Input-FX Rates'!$C$5</f>
        <v>7521 &amp; 7522</v>
      </c>
      <c r="F286" s="439" t="str">
        <f>'Input-FX Rates'!$B$5</f>
        <v>7521 &amp; 7522 PL Mechatronic Sensors (&amp; Electrification)</v>
      </c>
      <c r="G286" s="439" t="s">
        <v>1498</v>
      </c>
      <c r="H286" s="439" t="s">
        <v>1501</v>
      </c>
      <c r="I286" s="523"/>
      <c r="J286" s="523"/>
      <c r="K286" s="523"/>
      <c r="L286" s="523"/>
      <c r="M286" s="523"/>
      <c r="N286" s="523"/>
      <c r="O286" s="523"/>
      <c r="P286" s="523"/>
      <c r="Q286" s="523"/>
      <c r="R286" s="523"/>
      <c r="S286" s="523"/>
      <c r="T286" s="523"/>
      <c r="U286" s="523"/>
      <c r="V286" s="523"/>
      <c r="W286" s="523"/>
      <c r="X286" s="523"/>
      <c r="Y286" s="523"/>
      <c r="Z286" s="523"/>
      <c r="AA286" s="523"/>
      <c r="AB286" s="523"/>
      <c r="AC286" s="523"/>
      <c r="AD286" s="523"/>
      <c r="AE286" s="523"/>
      <c r="AF286" s="523"/>
      <c r="AG286" s="523"/>
      <c r="AH286" s="523"/>
      <c r="AI286" s="524">
        <f>'11. R&amp;O (GC)'!B17</f>
        <v>0</v>
      </c>
      <c r="AJ286" s="524">
        <f>'11. R&amp;O (GC)'!C17</f>
        <v>0</v>
      </c>
      <c r="AK286" s="524">
        <f>'11. R&amp;O (GC)'!D17</f>
        <v>0</v>
      </c>
      <c r="AL286" s="524"/>
      <c r="AM286" s="524"/>
      <c r="AN286" s="439" t="str">
        <f>'11. R&amp;O (GC)'!A17</f>
        <v>Opportunity 2</v>
      </c>
      <c r="AO286" s="523"/>
      <c r="AP286" s="439">
        <v>296</v>
      </c>
      <c r="AQ286" s="439" t="str">
        <f>Settings!$A$1</f>
        <v>V2</v>
      </c>
    </row>
    <row r="287" spans="1:43" x14ac:dyDescent="0.2">
      <c r="A287" s="439">
        <f>'Input-FX Rates'!$C$4</f>
        <v>242</v>
      </c>
      <c r="B287" s="439" t="str">
        <f>'Input-FX Rates'!$B$4</f>
        <v>ICH Icheon (242)</v>
      </c>
      <c r="C287" s="439">
        <f>'Input-FX Rates'!$C$6</f>
        <v>750</v>
      </c>
      <c r="D287" s="439" t="str">
        <f>'Input-FX Rates'!$B$6</f>
        <v>750 BU Sensorics &amp; Controls</v>
      </c>
      <c r="E287" s="439" t="str">
        <f>'Input-FX Rates'!$C$5</f>
        <v>7521 &amp; 7522</v>
      </c>
      <c r="F287" s="439" t="str">
        <f>'Input-FX Rates'!$B$5</f>
        <v>7521 &amp; 7522 PL Mechatronic Sensors (&amp; Electrification)</v>
      </c>
      <c r="G287" s="439" t="s">
        <v>1498</v>
      </c>
      <c r="H287" s="439" t="s">
        <v>1502</v>
      </c>
      <c r="I287" s="523"/>
      <c r="J287" s="523"/>
      <c r="K287" s="523"/>
      <c r="L287" s="523"/>
      <c r="M287" s="523"/>
      <c r="N287" s="523"/>
      <c r="O287" s="523"/>
      <c r="P287" s="523"/>
      <c r="Q287" s="523"/>
      <c r="R287" s="523"/>
      <c r="S287" s="523"/>
      <c r="T287" s="523"/>
      <c r="U287" s="523"/>
      <c r="V287" s="523"/>
      <c r="W287" s="523"/>
      <c r="X287" s="523"/>
      <c r="Y287" s="523"/>
      <c r="Z287" s="523"/>
      <c r="AA287" s="523"/>
      <c r="AB287" s="523"/>
      <c r="AC287" s="523"/>
      <c r="AD287" s="523"/>
      <c r="AE287" s="523"/>
      <c r="AF287" s="523"/>
      <c r="AG287" s="523"/>
      <c r="AH287" s="523"/>
      <c r="AI287" s="524">
        <f>'11. R&amp;O (GC)'!B18</f>
        <v>0</v>
      </c>
      <c r="AJ287" s="524">
        <f>'11. R&amp;O (GC)'!C18</f>
        <v>0</v>
      </c>
      <c r="AK287" s="524">
        <f>'11. R&amp;O (GC)'!D18</f>
        <v>0</v>
      </c>
      <c r="AL287" s="524"/>
      <c r="AM287" s="524"/>
      <c r="AN287" s="439" t="str">
        <f>'11. R&amp;O (GC)'!A18</f>
        <v>Opportunity 3</v>
      </c>
      <c r="AO287" s="523"/>
      <c r="AP287" s="439">
        <v>297</v>
      </c>
      <c r="AQ287" s="439" t="str">
        <f>Settings!$A$1</f>
        <v>V2</v>
      </c>
    </row>
    <row r="288" spans="1:43" x14ac:dyDescent="0.2">
      <c r="A288" s="439">
        <f>'Input-FX Rates'!$C$4</f>
        <v>242</v>
      </c>
      <c r="B288" s="439" t="str">
        <f>'Input-FX Rates'!$B$4</f>
        <v>ICH Icheon (242)</v>
      </c>
      <c r="C288" s="439">
        <f>'Input-FX Rates'!$C$6</f>
        <v>750</v>
      </c>
      <c r="D288" s="439" t="str">
        <f>'Input-FX Rates'!$B$6</f>
        <v>750 BU Sensorics &amp; Controls</v>
      </c>
      <c r="E288" s="439" t="str">
        <f>'Input-FX Rates'!$C$5</f>
        <v>7521 &amp; 7522</v>
      </c>
      <c r="F288" s="439" t="str">
        <f>'Input-FX Rates'!$B$5</f>
        <v>7521 &amp; 7522 PL Mechatronic Sensors (&amp; Electrification)</v>
      </c>
      <c r="G288" s="439" t="s">
        <v>1498</v>
      </c>
      <c r="H288" s="439" t="s">
        <v>1503</v>
      </c>
      <c r="I288" s="523"/>
      <c r="J288" s="523"/>
      <c r="K288" s="523"/>
      <c r="L288" s="523"/>
      <c r="M288" s="523"/>
      <c r="N288" s="523"/>
      <c r="O288" s="523"/>
      <c r="P288" s="523"/>
      <c r="Q288" s="523"/>
      <c r="R288" s="523"/>
      <c r="S288" s="523"/>
      <c r="T288" s="523"/>
      <c r="U288" s="523"/>
      <c r="V288" s="523"/>
      <c r="W288" s="523"/>
      <c r="X288" s="523"/>
      <c r="Y288" s="523"/>
      <c r="Z288" s="523"/>
      <c r="AA288" s="523"/>
      <c r="AB288" s="523"/>
      <c r="AC288" s="523"/>
      <c r="AD288" s="523"/>
      <c r="AE288" s="523"/>
      <c r="AF288" s="523"/>
      <c r="AG288" s="523"/>
      <c r="AH288" s="523"/>
      <c r="AI288" s="524">
        <f>'11. R&amp;O (GC)'!B19</f>
        <v>0</v>
      </c>
      <c r="AJ288" s="524">
        <f>'11. R&amp;O (GC)'!C19</f>
        <v>0</v>
      </c>
      <c r="AK288" s="524">
        <f>'11. R&amp;O (GC)'!D19</f>
        <v>0</v>
      </c>
      <c r="AL288" s="524"/>
      <c r="AM288" s="524"/>
      <c r="AN288" s="439" t="str">
        <f>'11. R&amp;O (GC)'!A19</f>
        <v>Opportunity 4</v>
      </c>
      <c r="AO288" s="523"/>
      <c r="AP288" s="439">
        <v>298</v>
      </c>
      <c r="AQ288" s="439" t="str">
        <f>Settings!$A$1</f>
        <v>V2</v>
      </c>
    </row>
    <row r="289" spans="1:43" x14ac:dyDescent="0.2">
      <c r="A289" s="439">
        <f>'Input-FX Rates'!$C$4</f>
        <v>242</v>
      </c>
      <c r="B289" s="439" t="str">
        <f>'Input-FX Rates'!$B$4</f>
        <v>ICH Icheon (242)</v>
      </c>
      <c r="C289" s="439">
        <f>'Input-FX Rates'!$C$6</f>
        <v>750</v>
      </c>
      <c r="D289" s="439" t="str">
        <f>'Input-FX Rates'!$B$6</f>
        <v>750 BU Sensorics &amp; Controls</v>
      </c>
      <c r="E289" s="439" t="str">
        <f>'Input-FX Rates'!$C$5</f>
        <v>7521 &amp; 7522</v>
      </c>
      <c r="F289" s="439" t="str">
        <f>'Input-FX Rates'!$B$5</f>
        <v>7521 &amp; 7522 PL Mechatronic Sensors (&amp; Electrification)</v>
      </c>
      <c r="G289" s="439" t="s">
        <v>1498</v>
      </c>
      <c r="H289" s="439" t="s">
        <v>724</v>
      </c>
      <c r="I289" s="523"/>
      <c r="J289" s="523"/>
      <c r="K289" s="523"/>
      <c r="L289" s="523"/>
      <c r="M289" s="523"/>
      <c r="N289" s="523"/>
      <c r="O289" s="523"/>
      <c r="P289" s="523"/>
      <c r="Q289" s="523"/>
      <c r="R289" s="523"/>
      <c r="S289" s="523"/>
      <c r="T289" s="523"/>
      <c r="U289" s="523"/>
      <c r="V289" s="523"/>
      <c r="W289" s="523"/>
      <c r="X289" s="523"/>
      <c r="Y289" s="523"/>
      <c r="Z289" s="523"/>
      <c r="AA289" s="523"/>
      <c r="AB289" s="523"/>
      <c r="AC289" s="523"/>
      <c r="AD289" s="523"/>
      <c r="AE289" s="523"/>
      <c r="AF289" s="523"/>
      <c r="AG289" s="523"/>
      <c r="AH289" s="523"/>
      <c r="AI289" s="524">
        <f>'11. R&amp;O (GC)'!B20</f>
        <v>0</v>
      </c>
      <c r="AJ289" s="524">
        <f>'11. R&amp;O (GC)'!C20</f>
        <v>0</v>
      </c>
      <c r="AK289" s="524">
        <f>'11. R&amp;O (GC)'!D20</f>
        <v>0</v>
      </c>
      <c r="AL289" s="524"/>
      <c r="AM289" s="524"/>
      <c r="AN289" s="439" t="str">
        <f>'11. R&amp;O (GC)'!A20</f>
        <v>Opportunity 5</v>
      </c>
      <c r="AO289" s="523"/>
      <c r="AP289" s="439">
        <v>299</v>
      </c>
      <c r="AQ289" s="439" t="str">
        <f>Settings!$A$1</f>
        <v>V2</v>
      </c>
    </row>
    <row r="290" spans="1:43" x14ac:dyDescent="0.2">
      <c r="A290" s="439">
        <f>'Input-FX Rates'!$C$4</f>
        <v>242</v>
      </c>
      <c r="B290" s="439" t="str">
        <f>'Input-FX Rates'!$B$4</f>
        <v>ICH Icheon (242)</v>
      </c>
      <c r="C290" s="439">
        <f>'Input-FX Rates'!$C$6</f>
        <v>750</v>
      </c>
      <c r="D290" s="439" t="str">
        <f>'Input-FX Rates'!$B$6</f>
        <v>750 BU Sensorics &amp; Controls</v>
      </c>
      <c r="E290" s="439" t="str">
        <f>'Input-FX Rates'!$C$5</f>
        <v>7521 &amp; 7522</v>
      </c>
      <c r="F290" s="439" t="str">
        <f>'Input-FX Rates'!$B$5</f>
        <v>7521 &amp; 7522 PL Mechatronic Sensors (&amp; Electrification)</v>
      </c>
      <c r="G290" s="439" t="s">
        <v>1498</v>
      </c>
      <c r="H290" s="439" t="s">
        <v>725</v>
      </c>
      <c r="I290" s="523"/>
      <c r="J290" s="523"/>
      <c r="K290" s="523"/>
      <c r="L290" s="523"/>
      <c r="M290" s="523"/>
      <c r="N290" s="523"/>
      <c r="O290" s="523"/>
      <c r="P290" s="523"/>
      <c r="Q290" s="523"/>
      <c r="R290" s="523"/>
      <c r="S290" s="523"/>
      <c r="T290" s="523"/>
      <c r="U290" s="523"/>
      <c r="V290" s="523"/>
      <c r="W290" s="523"/>
      <c r="X290" s="523"/>
      <c r="Y290" s="523"/>
      <c r="Z290" s="523"/>
      <c r="AA290" s="523"/>
      <c r="AB290" s="523"/>
      <c r="AC290" s="523"/>
      <c r="AD290" s="523"/>
      <c r="AE290" s="523"/>
      <c r="AF290" s="523"/>
      <c r="AG290" s="523"/>
      <c r="AH290" s="523"/>
      <c r="AI290" s="524">
        <f>'11. R&amp;O (GC)'!B21</f>
        <v>0</v>
      </c>
      <c r="AJ290" s="524">
        <f>'11. R&amp;O (GC)'!C21</f>
        <v>0</v>
      </c>
      <c r="AK290" s="524">
        <f>'11. R&amp;O (GC)'!D21</f>
        <v>0</v>
      </c>
      <c r="AL290" s="524"/>
      <c r="AM290" s="524"/>
      <c r="AN290" s="439" t="str">
        <f>'11. R&amp;O (GC)'!A21</f>
        <v>Opportunity 6</v>
      </c>
      <c r="AO290" s="523"/>
      <c r="AP290" s="439">
        <v>300</v>
      </c>
      <c r="AQ290" s="439" t="str">
        <f>Settings!$A$1</f>
        <v>V2</v>
      </c>
    </row>
    <row r="291" spans="1:43" x14ac:dyDescent="0.2">
      <c r="A291" s="439">
        <f>'Input-FX Rates'!$C$4</f>
        <v>242</v>
      </c>
      <c r="B291" s="439" t="str">
        <f>'Input-FX Rates'!$B$4</f>
        <v>ICH Icheon (242)</v>
      </c>
      <c r="C291" s="439">
        <f>'Input-FX Rates'!$C$6</f>
        <v>750</v>
      </c>
      <c r="D291" s="439" t="str">
        <f>'Input-FX Rates'!$B$6</f>
        <v>750 BU Sensorics &amp; Controls</v>
      </c>
      <c r="E291" s="439" t="str">
        <f>'Input-FX Rates'!$C$5</f>
        <v>7521 &amp; 7522</v>
      </c>
      <c r="F291" s="439" t="str">
        <f>'Input-FX Rates'!$B$5</f>
        <v>7521 &amp; 7522 PL Mechatronic Sensors (&amp; Electrification)</v>
      </c>
      <c r="G291" s="439" t="s">
        <v>1498</v>
      </c>
      <c r="H291" s="439" t="s">
        <v>726</v>
      </c>
      <c r="I291" s="523"/>
      <c r="J291" s="523"/>
      <c r="K291" s="523"/>
      <c r="L291" s="523"/>
      <c r="M291" s="523"/>
      <c r="N291" s="523"/>
      <c r="O291" s="523"/>
      <c r="P291" s="523"/>
      <c r="Q291" s="523"/>
      <c r="R291" s="523"/>
      <c r="S291" s="523"/>
      <c r="T291" s="523"/>
      <c r="U291" s="523"/>
      <c r="V291" s="523"/>
      <c r="W291" s="523"/>
      <c r="X291" s="523"/>
      <c r="Y291" s="523"/>
      <c r="Z291" s="523"/>
      <c r="AA291" s="523"/>
      <c r="AB291" s="523"/>
      <c r="AC291" s="523"/>
      <c r="AD291" s="523"/>
      <c r="AE291" s="523"/>
      <c r="AF291" s="523"/>
      <c r="AG291" s="523"/>
      <c r="AH291" s="523"/>
      <c r="AI291" s="524">
        <f>'11. R&amp;O (GC)'!B22</f>
        <v>0</v>
      </c>
      <c r="AJ291" s="524">
        <f>'11. R&amp;O (GC)'!C22</f>
        <v>0</v>
      </c>
      <c r="AK291" s="524">
        <f>'11. R&amp;O (GC)'!D22</f>
        <v>0</v>
      </c>
      <c r="AL291" s="524"/>
      <c r="AM291" s="524"/>
      <c r="AN291" s="439" t="str">
        <f>'11. R&amp;O (GC)'!A22</f>
        <v>Opportunity 7</v>
      </c>
      <c r="AO291" s="523"/>
      <c r="AP291" s="439">
        <v>301</v>
      </c>
      <c r="AQ291" s="439" t="str">
        <f>Settings!$A$1</f>
        <v>V2</v>
      </c>
    </row>
    <row r="292" spans="1:43" x14ac:dyDescent="0.2">
      <c r="A292" s="439">
        <f>'Input-FX Rates'!$C$4</f>
        <v>242</v>
      </c>
      <c r="B292" s="439" t="str">
        <f>'Input-FX Rates'!$B$4</f>
        <v>ICH Icheon (242)</v>
      </c>
      <c r="C292" s="439">
        <f>'Input-FX Rates'!$C$6</f>
        <v>750</v>
      </c>
      <c r="D292" s="439" t="str">
        <f>'Input-FX Rates'!$B$6</f>
        <v>750 BU Sensorics &amp; Controls</v>
      </c>
      <c r="E292" s="439" t="str">
        <f>'Input-FX Rates'!$C$5</f>
        <v>7521 &amp; 7522</v>
      </c>
      <c r="F292" s="439" t="str">
        <f>'Input-FX Rates'!$B$5</f>
        <v>7521 &amp; 7522 PL Mechatronic Sensors (&amp; Electrification)</v>
      </c>
      <c r="G292" s="439" t="s">
        <v>1498</v>
      </c>
      <c r="H292" s="439" t="s">
        <v>727</v>
      </c>
      <c r="I292" s="523"/>
      <c r="J292" s="523"/>
      <c r="K292" s="523"/>
      <c r="L292" s="523"/>
      <c r="M292" s="523"/>
      <c r="N292" s="523"/>
      <c r="O292" s="523"/>
      <c r="P292" s="523"/>
      <c r="Q292" s="523"/>
      <c r="R292" s="523"/>
      <c r="S292" s="523"/>
      <c r="T292" s="523"/>
      <c r="U292" s="523"/>
      <c r="V292" s="523"/>
      <c r="W292" s="523"/>
      <c r="X292" s="523"/>
      <c r="Y292" s="523"/>
      <c r="Z292" s="523"/>
      <c r="AA292" s="523"/>
      <c r="AB292" s="523"/>
      <c r="AC292" s="523"/>
      <c r="AD292" s="523"/>
      <c r="AE292" s="523"/>
      <c r="AF292" s="523"/>
      <c r="AG292" s="523"/>
      <c r="AH292" s="523"/>
      <c r="AI292" s="524">
        <f>'11. R&amp;O (GC)'!B23</f>
        <v>0</v>
      </c>
      <c r="AJ292" s="524">
        <f>'11. R&amp;O (GC)'!C23</f>
        <v>0</v>
      </c>
      <c r="AK292" s="524">
        <f>'11. R&amp;O (GC)'!D23</f>
        <v>0</v>
      </c>
      <c r="AL292" s="524"/>
      <c r="AM292" s="524"/>
      <c r="AN292" s="439" t="str">
        <f>'11. R&amp;O (GC)'!A23</f>
        <v>Opportunity 8</v>
      </c>
      <c r="AO292" s="523"/>
      <c r="AP292" s="439">
        <v>302</v>
      </c>
      <c r="AQ292" s="439" t="str">
        <f>Settings!$A$1</f>
        <v>V2</v>
      </c>
    </row>
    <row r="293" spans="1:43" x14ac:dyDescent="0.2">
      <c r="A293" s="439">
        <f>'Input-FX Rates'!$C$4</f>
        <v>242</v>
      </c>
      <c r="B293" s="439" t="str">
        <f>'Input-FX Rates'!$B$4</f>
        <v>ICH Icheon (242)</v>
      </c>
      <c r="C293" s="439">
        <f>'Input-FX Rates'!$C$6</f>
        <v>750</v>
      </c>
      <c r="D293" s="439" t="str">
        <f>'Input-FX Rates'!$B$6</f>
        <v>750 BU Sensorics &amp; Controls</v>
      </c>
      <c r="E293" s="439" t="str">
        <f>'Input-FX Rates'!$C$5</f>
        <v>7521 &amp; 7522</v>
      </c>
      <c r="F293" s="439" t="str">
        <f>'Input-FX Rates'!$B$5</f>
        <v>7521 &amp; 7522 PL Mechatronic Sensors (&amp; Electrification)</v>
      </c>
      <c r="G293" s="439" t="s">
        <v>1498</v>
      </c>
      <c r="H293" s="439" t="s">
        <v>728</v>
      </c>
      <c r="I293" s="523"/>
      <c r="J293" s="523"/>
      <c r="K293" s="523"/>
      <c r="L293" s="523"/>
      <c r="M293" s="523"/>
      <c r="N293" s="523"/>
      <c r="O293" s="523"/>
      <c r="P293" s="523"/>
      <c r="Q293" s="523"/>
      <c r="R293" s="523"/>
      <c r="S293" s="523"/>
      <c r="T293" s="523"/>
      <c r="U293" s="523"/>
      <c r="V293" s="523"/>
      <c r="W293" s="523"/>
      <c r="X293" s="523"/>
      <c r="Y293" s="523"/>
      <c r="Z293" s="523"/>
      <c r="AA293" s="523"/>
      <c r="AB293" s="523"/>
      <c r="AC293" s="523"/>
      <c r="AD293" s="523"/>
      <c r="AE293" s="523"/>
      <c r="AF293" s="523"/>
      <c r="AG293" s="523"/>
      <c r="AH293" s="523"/>
      <c r="AI293" s="524">
        <f>'11. R&amp;O (GC)'!B24</f>
        <v>0</v>
      </c>
      <c r="AJ293" s="524">
        <f>'11. R&amp;O (GC)'!C24</f>
        <v>0</v>
      </c>
      <c r="AK293" s="524">
        <f>'11. R&amp;O (GC)'!D24</f>
        <v>0</v>
      </c>
      <c r="AL293" s="524"/>
      <c r="AM293" s="524"/>
      <c r="AN293" s="439" t="str">
        <f>'11. R&amp;O (GC)'!A24</f>
        <v>Opportunity 9</v>
      </c>
      <c r="AO293" s="523"/>
      <c r="AP293" s="439">
        <v>303</v>
      </c>
      <c r="AQ293" s="439" t="str">
        <f>Settings!$A$1</f>
        <v>V2</v>
      </c>
    </row>
    <row r="294" spans="1:43" x14ac:dyDescent="0.2">
      <c r="A294" s="439">
        <f>'Input-FX Rates'!$C$4</f>
        <v>242</v>
      </c>
      <c r="B294" s="439" t="str">
        <f>'Input-FX Rates'!$B$4</f>
        <v>ICH Icheon (242)</v>
      </c>
      <c r="C294" s="439">
        <f>'Input-FX Rates'!$C$6</f>
        <v>750</v>
      </c>
      <c r="D294" s="439" t="str">
        <f>'Input-FX Rates'!$B$6</f>
        <v>750 BU Sensorics &amp; Controls</v>
      </c>
      <c r="E294" s="439" t="str">
        <f>'Input-FX Rates'!$C$5</f>
        <v>7521 &amp; 7522</v>
      </c>
      <c r="F294" s="439" t="str">
        <f>'Input-FX Rates'!$B$5</f>
        <v>7521 &amp; 7522 PL Mechatronic Sensors (&amp; Electrification)</v>
      </c>
      <c r="G294" s="439" t="s">
        <v>1498</v>
      </c>
      <c r="H294" s="439" t="s">
        <v>729</v>
      </c>
      <c r="I294" s="523"/>
      <c r="J294" s="523"/>
      <c r="K294" s="523"/>
      <c r="L294" s="523"/>
      <c r="M294" s="523"/>
      <c r="N294" s="523"/>
      <c r="O294" s="523"/>
      <c r="P294" s="523"/>
      <c r="Q294" s="523"/>
      <c r="R294" s="523"/>
      <c r="S294" s="523"/>
      <c r="T294" s="523"/>
      <c r="U294" s="523"/>
      <c r="V294" s="523"/>
      <c r="W294" s="523"/>
      <c r="X294" s="523"/>
      <c r="Y294" s="523"/>
      <c r="Z294" s="523"/>
      <c r="AA294" s="523"/>
      <c r="AB294" s="523"/>
      <c r="AC294" s="523"/>
      <c r="AD294" s="523"/>
      <c r="AE294" s="523"/>
      <c r="AF294" s="523"/>
      <c r="AG294" s="523"/>
      <c r="AH294" s="523"/>
      <c r="AI294" s="524">
        <f>'11. R&amp;O (GC)'!B25</f>
        <v>0</v>
      </c>
      <c r="AJ294" s="524">
        <f>'11. R&amp;O (GC)'!C25</f>
        <v>69.60723310344828</v>
      </c>
      <c r="AK294" s="524">
        <f>'11. R&amp;O (GC)'!D25</f>
        <v>69.60723310344828</v>
      </c>
      <c r="AL294" s="524"/>
      <c r="AM294" s="524"/>
      <c r="AN294" s="439" t="str">
        <f>'11. R&amp;O (GC)'!A25</f>
        <v>Total Opportunities</v>
      </c>
      <c r="AO294" s="523"/>
      <c r="AP294" s="439">
        <v>304</v>
      </c>
      <c r="AQ294" s="439" t="str">
        <f>Settings!$A$1</f>
        <v>V2</v>
      </c>
    </row>
    <row r="295" spans="1:43" x14ac:dyDescent="0.2">
      <c r="A295" s="439">
        <f>'Input-FX Rates'!$C$4</f>
        <v>242</v>
      </c>
      <c r="B295" s="439" t="str">
        <f>'Input-FX Rates'!$B$4</f>
        <v>ICH Icheon (242)</v>
      </c>
      <c r="C295" s="439">
        <f>'Input-FX Rates'!$C$6</f>
        <v>750</v>
      </c>
      <c r="D295" s="439" t="str">
        <f>'Input-FX Rates'!$B$6</f>
        <v>750 BU Sensorics &amp; Controls</v>
      </c>
      <c r="E295" s="439" t="str">
        <f>'Input-FX Rates'!$C$5</f>
        <v>7521 &amp; 7522</v>
      </c>
      <c r="F295" s="439" t="str">
        <f>'Input-FX Rates'!$B$5</f>
        <v>7521 &amp; 7522 PL Mechatronic Sensors (&amp; Electrification)</v>
      </c>
      <c r="G295" s="439" t="s">
        <v>1498</v>
      </c>
      <c r="H295" s="439" t="s">
        <v>730</v>
      </c>
      <c r="I295" s="523"/>
      <c r="J295" s="523"/>
      <c r="K295" s="523"/>
      <c r="L295" s="523"/>
      <c r="M295" s="523"/>
      <c r="N295" s="523"/>
      <c r="O295" s="523"/>
      <c r="P295" s="523"/>
      <c r="Q295" s="523"/>
      <c r="R295" s="523"/>
      <c r="S295" s="523"/>
      <c r="T295" s="523"/>
      <c r="U295" s="523"/>
      <c r="V295" s="523"/>
      <c r="W295" s="523"/>
      <c r="X295" s="523"/>
      <c r="Y295" s="523"/>
      <c r="Z295" s="523"/>
      <c r="AA295" s="523"/>
      <c r="AB295" s="523"/>
      <c r="AC295" s="523"/>
      <c r="AD295" s="523"/>
      <c r="AE295" s="523"/>
      <c r="AF295" s="523"/>
      <c r="AG295" s="523"/>
      <c r="AH295" s="523"/>
      <c r="AI295" s="524">
        <f>'11. R&amp;O (GC)'!B26</f>
        <v>0</v>
      </c>
      <c r="AJ295" s="524">
        <f>'11. R&amp;O (GC)'!C26</f>
        <v>69.60723310344828</v>
      </c>
      <c r="AK295" s="524">
        <f>'11. R&amp;O (GC)'!D26</f>
        <v>69.60723310344828</v>
      </c>
      <c r="AL295" s="524"/>
      <c r="AM295" s="524"/>
      <c r="AN295" s="439" t="str">
        <f>'11. R&amp;O (GC)'!A26</f>
        <v>Total Risks &amp; Opportunities</v>
      </c>
      <c r="AO295" s="523"/>
      <c r="AP295" s="439">
        <v>305</v>
      </c>
      <c r="AQ295" s="439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B13" sqref="B13"/>
    </sheetView>
  </sheetViews>
  <sheetFormatPr defaultColWidth="9.28515625" defaultRowHeight="12.75" customHeight="1" x14ac:dyDescent="0.2"/>
  <cols>
    <col min="1" max="1" width="22.7109375" style="5" customWidth="1"/>
    <col min="2" max="2" width="49.140625" style="5" customWidth="1"/>
    <col min="3" max="8" width="17.28515625" style="5" customWidth="1"/>
    <col min="9" max="9" width="3.42578125" style="5" customWidth="1"/>
    <col min="10" max="10" width="53.42578125" style="5" bestFit="1" customWidth="1"/>
    <col min="11" max="17" width="9.28515625" style="5" customWidth="1"/>
    <col min="18" max="16384" width="9.28515625" style="5"/>
  </cols>
  <sheetData>
    <row r="1" spans="1:10" s="51" customFormat="1" ht="19.899999999999999" customHeight="1" x14ac:dyDescent="0.25">
      <c r="A1" s="60" t="s">
        <v>153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154</v>
      </c>
    </row>
    <row r="2" spans="1:10" s="51" customFormat="1" ht="19.899999999999999" customHeight="1" thickBot="1" x14ac:dyDescent="0.3">
      <c r="A2" s="55" t="s">
        <v>155</v>
      </c>
      <c r="B2" s="55"/>
      <c r="C2" s="55"/>
      <c r="D2" s="55"/>
      <c r="E2" s="55"/>
      <c r="F2" s="55"/>
      <c r="G2" s="54"/>
      <c r="H2" s="54" t="str">
        <f>IF($B$5="All",$B$6,$B$5)</f>
        <v>7521 &amp; 7522 PL Mechatronic Sensors (&amp; Electrification)</v>
      </c>
      <c r="I2" s="53"/>
      <c r="J2" s="52" t="s">
        <v>156</v>
      </c>
    </row>
    <row r="3" spans="1:10" ht="69" customHeight="1" x14ac:dyDescent="0.25">
      <c r="A3" s="20"/>
      <c r="B3" s="50"/>
      <c r="C3" s="50" t="s">
        <v>157</v>
      </c>
      <c r="D3" s="20"/>
      <c r="E3" s="20"/>
      <c r="F3" s="20"/>
      <c r="G3" s="20"/>
      <c r="H3" s="20"/>
      <c r="I3" s="21"/>
      <c r="J3" s="49" t="s">
        <v>158</v>
      </c>
    </row>
    <row r="4" spans="1:10" ht="15.75" x14ac:dyDescent="0.25">
      <c r="A4" s="46" t="s">
        <v>159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160</v>
      </c>
    </row>
    <row r="5" spans="1:10" ht="15.75" x14ac:dyDescent="0.25">
      <c r="A5" s="46" t="s">
        <v>161</v>
      </c>
      <c r="B5" s="45" t="str">
        <f>_xlfn.IFNA(VLOOKUP(C5,Settings!$G4:$I50,2,FALSE),"-")</f>
        <v>7521 &amp; 7522 PL Mechatronic Sensors (&amp; Electrification)</v>
      </c>
      <c r="C5" s="48" t="s">
        <v>82</v>
      </c>
      <c r="D5" s="47"/>
      <c r="E5" s="21"/>
      <c r="F5" s="21"/>
      <c r="G5" s="21"/>
      <c r="H5" s="21"/>
      <c r="I5" s="21"/>
      <c r="J5" s="20" t="s">
        <v>162</v>
      </c>
    </row>
    <row r="6" spans="1:10" ht="15.75" x14ac:dyDescent="0.25">
      <c r="A6" s="46" t="s">
        <v>163</v>
      </c>
      <c r="B6" s="45" t="str">
        <f>VLOOKUP(C5, Settings!G:M,7,FALSE)</f>
        <v>750 BU Sensorics &amp; Controls</v>
      </c>
      <c r="C6" s="45">
        <f>VLOOKUP(C5, Settings!G:L,6,FALSE)</f>
        <v>750</v>
      </c>
      <c r="D6" s="21"/>
      <c r="E6" s="21"/>
      <c r="F6" s="21"/>
      <c r="G6" s="21"/>
      <c r="H6" s="21"/>
      <c r="I6" s="21"/>
      <c r="J6" s="20" t="s">
        <v>164</v>
      </c>
    </row>
    <row r="7" spans="1:10" ht="15.75" x14ac:dyDescent="0.25">
      <c r="A7" s="46" t="s">
        <v>165</v>
      </c>
      <c r="B7" s="45" t="str">
        <f>VLOOKUP(C5, Settings!G:L,5,FALSE)</f>
        <v>721 Powertrain Solutions</v>
      </c>
      <c r="C7" s="45">
        <f>VLOOKUP(C5, Settings!G:L,4,FALSE)</f>
        <v>721</v>
      </c>
      <c r="D7" s="21"/>
      <c r="E7" s="1022"/>
      <c r="F7" s="1022"/>
      <c r="G7" s="1022"/>
      <c r="H7" s="21"/>
      <c r="I7" s="21"/>
      <c r="J7" s="20" t="s">
        <v>166</v>
      </c>
    </row>
    <row r="8" spans="1:10" ht="15.75" x14ac:dyDescent="0.25">
      <c r="A8" s="46" t="s">
        <v>167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168</v>
      </c>
    </row>
    <row r="9" spans="1:10" ht="17.649999999999999" customHeight="1" x14ac:dyDescent="0.2">
      <c r="J9" s="20" t="s">
        <v>169</v>
      </c>
    </row>
    <row r="10" spans="1:10" ht="20.65" customHeight="1" x14ac:dyDescent="0.25">
      <c r="A10" s="40" t="s">
        <v>170</v>
      </c>
      <c r="B10" s="1020">
        <v>2022</v>
      </c>
      <c r="C10" s="1021"/>
      <c r="D10" s="1020">
        <v>2023</v>
      </c>
      <c r="E10" s="1023"/>
      <c r="F10" s="1023"/>
      <c r="G10" s="1021"/>
      <c r="H10" s="39">
        <v>2024</v>
      </c>
      <c r="I10" s="21"/>
      <c r="J10" s="20"/>
    </row>
    <row r="11" spans="1:10" ht="20.65" customHeight="1" x14ac:dyDescent="0.25">
      <c r="A11" s="40" t="str">
        <f>$B$8</f>
        <v>KRW</v>
      </c>
      <c r="B11" s="42" t="s">
        <v>15</v>
      </c>
      <c r="C11" s="40" t="s">
        <v>16</v>
      </c>
      <c r="D11" s="42" t="s">
        <v>17</v>
      </c>
      <c r="E11" s="41" t="s">
        <v>171</v>
      </c>
      <c r="F11" s="41" t="s">
        <v>18</v>
      </c>
      <c r="G11" s="40" t="s">
        <v>19</v>
      </c>
      <c r="H11" s="39" t="s">
        <v>15</v>
      </c>
      <c r="I11" s="21"/>
      <c r="J11" s="20" t="s">
        <v>172</v>
      </c>
    </row>
    <row r="12" spans="1:10" ht="15" x14ac:dyDescent="0.2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173</v>
      </c>
    </row>
    <row r="13" spans="1:10" ht="15" x14ac:dyDescent="0.25">
      <c r="A13" s="32" t="s">
        <v>174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63" t="s">
        <v>175</v>
      </c>
    </row>
    <row r="14" spans="1:10" ht="15" x14ac:dyDescent="0.25">
      <c r="A14" s="32" t="s">
        <v>176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 x14ac:dyDescent="0.25">
      <c r="A15" s="32"/>
      <c r="B15" s="31"/>
      <c r="C15" s="29"/>
      <c r="D15" s="31"/>
      <c r="E15" s="30"/>
      <c r="F15" s="30"/>
      <c r="G15" s="29"/>
      <c r="H15" s="28"/>
      <c r="I15" s="21"/>
      <c r="J15" s="964" t="s">
        <v>177</v>
      </c>
    </row>
    <row r="16" spans="1:10" ht="15" x14ac:dyDescent="0.25">
      <c r="A16" s="32" t="s">
        <v>178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 x14ac:dyDescent="0.25">
      <c r="A17" s="27" t="s">
        <v>179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topLeftCell="A9" zoomScaleNormal="100" workbookViewId="0">
      <selection activeCell="G43" sqref="G43"/>
    </sheetView>
  </sheetViews>
  <sheetFormatPr defaultColWidth="9.28515625" defaultRowHeight="12.75" customHeight="1" x14ac:dyDescent="0.2"/>
  <cols>
    <col min="1" max="1" width="15" style="5" customWidth="1"/>
    <col min="2" max="8" width="19.5703125" style="5" customWidth="1"/>
    <col min="9" max="65" width="9.28515625" style="5"/>
    <col min="66" max="16384" width="9.28515625" style="3"/>
  </cols>
  <sheetData>
    <row r="1" spans="1:65" s="70" customFormat="1" ht="19.899999999999999" customHeight="1" x14ac:dyDescent="0.25">
      <c r="A1" s="60" t="s">
        <v>153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 x14ac:dyDescent="0.3">
      <c r="A2" s="55" t="s">
        <v>180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 x14ac:dyDescent="0.25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 x14ac:dyDescent="0.25">
      <c r="A4" s="63" t="s">
        <v>181</v>
      </c>
      <c r="B4" s="69" t="s">
        <v>156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 x14ac:dyDescent="0.25">
      <c r="A5" s="67"/>
      <c r="B5" s="63" t="s">
        <v>182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 x14ac:dyDescent="0.25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 x14ac:dyDescent="0.25">
      <c r="A7" s="63" t="s">
        <v>183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 x14ac:dyDescent="0.2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 x14ac:dyDescent="0.25">
      <c r="A9" s="65"/>
      <c r="B9" s="637" t="s">
        <v>184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 x14ac:dyDescent="0.2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 x14ac:dyDescent="0.25">
      <c r="A12" s="63" t="s">
        <v>185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 x14ac:dyDescent="0.2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 x14ac:dyDescent="0.2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 x14ac:dyDescent="0.2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 x14ac:dyDescent="0.2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 x14ac:dyDescent="0.2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 x14ac:dyDescent="0.25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 x14ac:dyDescent="0.25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 x14ac:dyDescent="0.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 x14ac:dyDescent="0.25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 x14ac:dyDescent="0.25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 x14ac:dyDescent="0.25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 x14ac:dyDescent="0.25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 x14ac:dyDescent="0.2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 x14ac:dyDescent="0.2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 x14ac:dyDescent="0.25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 x14ac:dyDescent="0.2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 x14ac:dyDescent="0.2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 x14ac:dyDescent="0.2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 x14ac:dyDescent="0.2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 x14ac:dyDescent="0.2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 x14ac:dyDescent="0.2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 x14ac:dyDescent="0.25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 x14ac:dyDescent="0.2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 x14ac:dyDescent="0.2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 x14ac:dyDescent="0.2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 x14ac:dyDescent="0.25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 x14ac:dyDescent="0.25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 x14ac:dyDescent="0.25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 x14ac:dyDescent="0.25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 x14ac:dyDescent="0.25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 x14ac:dyDescent="0.2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 x14ac:dyDescent="0.25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 x14ac:dyDescent="0.25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 x14ac:dyDescent="0.25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 x14ac:dyDescent="0.25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 x14ac:dyDescent="0.25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 x14ac:dyDescent="0.25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 x14ac:dyDescent="0.25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 x14ac:dyDescent="0.25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 x14ac:dyDescent="0.25">
      <c r="A68" s="63" t="s">
        <v>186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 x14ac:dyDescent="0.3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 x14ac:dyDescent="0.2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 x14ac:dyDescent="0.25">
      <c r="A71" s="63" t="s">
        <v>187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 x14ac:dyDescent="0.3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 x14ac:dyDescent="0.25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 x14ac:dyDescent="0.25">
      <c r="A74" s="63" t="s">
        <v>188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 x14ac:dyDescent="0.2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Normal="100" workbookViewId="0">
      <pane ySplit="6" topLeftCell="A7" activePane="bottomLeft" state="frozen"/>
      <selection activeCell="D14" sqref="D14"/>
      <selection pane="bottomLeft" activeCell="A30" sqref="A30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73" bestFit="1" customWidth="1"/>
    <col min="10" max="10" width="9.28515625" style="5" customWidth="1"/>
    <col min="11" max="16384" width="9.28515625" style="5"/>
  </cols>
  <sheetData>
    <row r="1" spans="1:9" s="71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218"/>
      <c r="F1" s="72"/>
      <c r="G1" s="58" t="str">
        <f>'Input-FX Rates'!$H$1</f>
        <v>Plant ICH Icheon (242)</v>
      </c>
      <c r="I1" s="56" t="s">
        <v>154</v>
      </c>
    </row>
    <row r="2" spans="1:9" s="71" customFormat="1" ht="19.899999999999999" customHeight="1" thickBot="1" x14ac:dyDescent="0.3">
      <c r="A2" s="55" t="s">
        <v>189</v>
      </c>
      <c r="B2" s="55"/>
      <c r="C2" s="55"/>
      <c r="D2" s="55"/>
      <c r="E2" s="55"/>
      <c r="F2" s="55"/>
      <c r="G2" s="54" t="str">
        <f>'Input-FX Rates'!$H$2</f>
        <v>7521 &amp; 7522 PL Mechatronic Sensors (&amp; Electrification)</v>
      </c>
      <c r="I2" s="95" t="s">
        <v>156</v>
      </c>
    </row>
    <row r="5" spans="1:9" ht="27.6" customHeight="1" x14ac:dyDescent="0.2">
      <c r="A5" s="40">
        <v>2022</v>
      </c>
      <c r="B5" s="1023">
        <v>2023</v>
      </c>
      <c r="C5" s="1023"/>
      <c r="D5" s="1021"/>
      <c r="E5" s="1024" t="str">
        <f>"in '000 "&amp;'Input-FX Rates'!$B$8</f>
        <v>in '000 KRW</v>
      </c>
      <c r="F5" s="41">
        <v>2024</v>
      </c>
      <c r="G5" s="41" t="s">
        <v>190</v>
      </c>
    </row>
    <row r="6" spans="1:9" ht="27.6" customHeight="1" x14ac:dyDescent="0.2">
      <c r="A6" s="40" t="s">
        <v>191</v>
      </c>
      <c r="B6" s="41" t="s">
        <v>15</v>
      </c>
      <c r="C6" s="41" t="s">
        <v>192</v>
      </c>
      <c r="D6" s="40" t="s">
        <v>19</v>
      </c>
      <c r="E6" s="1024"/>
      <c r="F6" s="41" t="s">
        <v>15</v>
      </c>
      <c r="G6" s="41" t="s">
        <v>193</v>
      </c>
      <c r="I6" s="266" t="s">
        <v>194</v>
      </c>
    </row>
    <row r="7" spans="1:9" ht="21.6" customHeight="1" x14ac:dyDescent="0.2">
      <c r="A7" s="80">
        <f>'P&amp;L'!D8</f>
        <v>8731433.4010000005</v>
      </c>
      <c r="B7" s="78">
        <f>'P&amp;L'!E8</f>
        <v>16410304.291999999</v>
      </c>
      <c r="C7" s="78">
        <f>'P&amp;L'!F8</f>
        <v>10156179.187999999</v>
      </c>
      <c r="D7" s="80">
        <f>'P&amp;L'!H8</f>
        <v>21211769.708999999</v>
      </c>
      <c r="E7" s="79" t="s">
        <v>195</v>
      </c>
      <c r="F7" s="78">
        <f>'P&amp;L'!I8</f>
        <v>20571529.809999999</v>
      </c>
      <c r="G7" s="78">
        <f t="shared" ref="G7:G21" si="0">F7-D7</f>
        <v>-640239.89900000021</v>
      </c>
      <c r="I7" s="266" t="s">
        <v>196</v>
      </c>
    </row>
    <row r="8" spans="1:9" ht="21.6" customHeight="1" x14ac:dyDescent="0.2">
      <c r="A8" s="94">
        <f>'P&amp;L'!D53</f>
        <v>2448460.4819999998</v>
      </c>
      <c r="B8" s="92">
        <f>'P&amp;L'!E53</f>
        <v>3340438.3050000002</v>
      </c>
      <c r="C8" s="92">
        <f>'P&amp;L'!F53</f>
        <v>2168972.8849999998</v>
      </c>
      <c r="D8" s="94">
        <f>'P&amp;L'!H53</f>
        <v>5643511.5630000001</v>
      </c>
      <c r="E8" s="93" t="s">
        <v>197</v>
      </c>
      <c r="F8" s="92">
        <f>'P&amp;L'!I53</f>
        <v>7021047.449</v>
      </c>
      <c r="G8" s="92">
        <f t="shared" si="0"/>
        <v>1377535.8859999999</v>
      </c>
      <c r="I8" s="5"/>
    </row>
    <row r="9" spans="1:9" ht="21.6" customHeight="1" x14ac:dyDescent="0.2">
      <c r="A9" s="91">
        <f>IFERROR(A8/A$7,0)</f>
        <v>0.28041907548874856</v>
      </c>
      <c r="B9" s="86">
        <f>IFERROR(B8/B$7,0)</f>
        <v>0.20355736527252935</v>
      </c>
      <c r="C9" s="86">
        <f>IFERROR(C8/C$7,0)</f>
        <v>0.213561896147199</v>
      </c>
      <c r="D9" s="91">
        <f>IFERROR(D8/D$7,0)</f>
        <v>0.266055668170181</v>
      </c>
      <c r="E9" s="90" t="s">
        <v>198</v>
      </c>
      <c r="F9" s="86">
        <f>IFERROR(F8/F$7,0)</f>
        <v>0.34129923801714585</v>
      </c>
      <c r="G9" s="86">
        <f t="shared" si="0"/>
        <v>7.5243569846964842E-2</v>
      </c>
      <c r="H9" s="73"/>
    </row>
    <row r="10" spans="1:9" ht="21.6" customHeight="1" x14ac:dyDescent="0.2">
      <c r="A10" s="83">
        <f>'P&amp;L'!D55+'P&amp;L'!D56+'P&amp;L'!D57+'P&amp;L'!D59</f>
        <v>-1183589.571</v>
      </c>
      <c r="B10" s="81">
        <f>'P&amp;L'!E55+'P&amp;L'!E56+'P&amp;L'!E57+'P&amp;L'!E59</f>
        <v>-1460008.4540000001</v>
      </c>
      <c r="C10" s="81">
        <f>'P&amp;L'!F55+'P&amp;L'!F56+'P&amp;L'!F57+'P&amp;L'!F59</f>
        <v>-819403.93500000006</v>
      </c>
      <c r="D10" s="83">
        <f>'P&amp;L'!H55+'P&amp;L'!H56+'P&amp;L'!H57+'P&amp;L'!H59</f>
        <v>-1636212.023</v>
      </c>
      <c r="E10" s="82" t="s">
        <v>199</v>
      </c>
      <c r="F10" s="85">
        <f>'P&amp;L'!I55+'P&amp;L'!I56+'P&amp;L'!I57+'P&amp;L'!I59</f>
        <v>-2419730.2149999999</v>
      </c>
      <c r="G10" s="81">
        <f t="shared" si="0"/>
        <v>-783518.19199999981</v>
      </c>
    </row>
    <row r="11" spans="1:9" ht="21.6" customHeight="1" x14ac:dyDescent="0.2">
      <c r="A11" s="89">
        <f>IFERROR(A10/A$7,0)</f>
        <v>-0.13555501332283482</v>
      </c>
      <c r="B11" s="87">
        <f>IFERROR(B10/B$7,0)</f>
        <v>-8.8969005572416604E-2</v>
      </c>
      <c r="C11" s="87">
        <f>IFERROR(C10/C$7,0)</f>
        <v>-8.0680334585683966E-2</v>
      </c>
      <c r="D11" s="89">
        <f>IFERROR(D10/D$7,0)</f>
        <v>-7.7136987882051505E-2</v>
      </c>
      <c r="E11" s="88" t="s">
        <v>198</v>
      </c>
      <c r="F11" s="87">
        <f>IFERROR(F10/F$7,0)</f>
        <v>-0.11762519546911616</v>
      </c>
      <c r="G11" s="86">
        <f t="shared" si="0"/>
        <v>-4.0488207587064659E-2</v>
      </c>
      <c r="H11" s="73"/>
    </row>
    <row r="12" spans="1:9" ht="21.6" customHeight="1" x14ac:dyDescent="0.2">
      <c r="A12" s="83">
        <f>+'P&amp;L'!D58</f>
        <v>-394603.15</v>
      </c>
      <c r="B12" s="81">
        <f>+'P&amp;L'!E58</f>
        <v>-428271.63</v>
      </c>
      <c r="C12" s="81">
        <f>+'P&amp;L'!F58</f>
        <v>-138065.486</v>
      </c>
      <c r="D12" s="81">
        <f>+'P&amp;L'!H58</f>
        <v>-298813.85600000003</v>
      </c>
      <c r="E12" s="82" t="s">
        <v>200</v>
      </c>
      <c r="F12" s="85">
        <f>+'P&amp;L'!I58</f>
        <v>-187642.45699999999</v>
      </c>
      <c r="G12" s="81">
        <f t="shared" si="0"/>
        <v>111171.39900000003</v>
      </c>
    </row>
    <row r="13" spans="1:9" ht="21.6" customHeight="1" x14ac:dyDescent="0.2">
      <c r="A13" s="83">
        <f>'P&amp;L'!D60</f>
        <v>147600.30799999999</v>
      </c>
      <c r="B13" s="81">
        <f>'P&amp;L'!E60</f>
        <v>0</v>
      </c>
      <c r="C13" s="81">
        <f>'P&amp;L'!F60</f>
        <v>-95819.921000000002</v>
      </c>
      <c r="D13" s="83">
        <f>'P&amp;L'!H60</f>
        <v>-109006.247</v>
      </c>
      <c r="E13" s="82" t="s">
        <v>201</v>
      </c>
      <c r="F13" s="81">
        <f>'P&amp;L'!I60</f>
        <v>0</v>
      </c>
      <c r="G13" s="81">
        <f t="shared" si="0"/>
        <v>109006.247</v>
      </c>
    </row>
    <row r="14" spans="1:9" ht="21.6" customHeight="1" x14ac:dyDescent="0.2">
      <c r="A14" s="80">
        <f>'P&amp;L'!D64</f>
        <v>1017868.069</v>
      </c>
      <c r="B14" s="78">
        <f>'P&amp;L'!E64</f>
        <v>1452158.2209999999</v>
      </c>
      <c r="C14" s="78">
        <f>'P&amp;L'!F64</f>
        <v>1115683.5430000001</v>
      </c>
      <c r="D14" s="80">
        <f>'P&amp;L'!H64</f>
        <v>3599479.4369999999</v>
      </c>
      <c r="E14" s="79" t="s">
        <v>202</v>
      </c>
      <c r="F14" s="78">
        <f>'P&amp;L'!I64</f>
        <v>4413674.7769999998</v>
      </c>
      <c r="G14" s="78">
        <f t="shared" si="0"/>
        <v>814195.33999999985</v>
      </c>
    </row>
    <row r="15" spans="1:9" ht="21.6" customHeight="1" x14ac:dyDescent="0.2">
      <c r="A15" s="77">
        <f>IFERROR(A14/A$7,0)</f>
        <v>0.11657513975694127</v>
      </c>
      <c r="B15" s="75">
        <f>IFERROR(B14/B$7,0)</f>
        <v>8.8490633394770438E-2</v>
      </c>
      <c r="C15" s="75">
        <f>IFERROR(C14/C$7,0)</f>
        <v>0.10985268400130557</v>
      </c>
      <c r="D15" s="77">
        <f>IFERROR(D14/D$7,0)</f>
        <v>0.16969255683898771</v>
      </c>
      <c r="E15" s="84" t="s">
        <v>198</v>
      </c>
      <c r="F15" s="75">
        <f>IFERROR(F14/F$7,0)</f>
        <v>0.21455257911127612</v>
      </c>
      <c r="G15" s="75">
        <f t="shared" si="0"/>
        <v>4.4860022272288413E-2</v>
      </c>
      <c r="H15" s="73"/>
    </row>
    <row r="16" spans="1:9" ht="21.6" customHeight="1" x14ac:dyDescent="0.2">
      <c r="A16" s="83">
        <f>'P&amp;L'!D65+'P&amp;L'!D80+'P&amp;L'!D85</f>
        <v>-1484268.156</v>
      </c>
      <c r="B16" s="81">
        <f>'P&amp;L'!E65+'P&amp;L'!E80+'P&amp;L'!E85</f>
        <v>-2077959.0689999999</v>
      </c>
      <c r="C16" s="81">
        <f>'P&amp;L'!F65+'P&amp;L'!F80+'P&amp;L'!F85</f>
        <v>-943492.63299999991</v>
      </c>
      <c r="D16" s="83">
        <f>'P&amp;L'!H65+'P&amp;L'!H80+'P&amp;L'!H85</f>
        <v>-2030247.2040000001</v>
      </c>
      <c r="E16" s="82" t="s">
        <v>203</v>
      </c>
      <c r="F16" s="81">
        <f>'P&amp;L'!I65+'P&amp;L'!I80+'P&amp;L'!I85</f>
        <v>-2636961.8629999999</v>
      </c>
      <c r="G16" s="81">
        <f t="shared" si="0"/>
        <v>-606714.65899999975</v>
      </c>
    </row>
    <row r="17" spans="1:9" ht="21.6" customHeight="1" x14ac:dyDescent="0.2">
      <c r="A17" s="83">
        <f>'P&amp;L'!D88+'P&amp;L'!D132</f>
        <v>-5669.6130000000003</v>
      </c>
      <c r="B17" s="81">
        <f>'P&amp;L'!E88+'P&amp;L'!E132</f>
        <v>0</v>
      </c>
      <c r="C17" s="81">
        <f>'P&amp;L'!F88+'P&amp;L'!F132</f>
        <v>-30000.673999999999</v>
      </c>
      <c r="D17" s="83">
        <f>'P&amp;L'!H88+'P&amp;L'!H132</f>
        <v>31867.175999999999</v>
      </c>
      <c r="E17" s="82" t="s">
        <v>204</v>
      </c>
      <c r="F17" s="81">
        <f>'P&amp;L'!I88+'P&amp;L'!I132</f>
        <v>0</v>
      </c>
      <c r="G17" s="81">
        <f t="shared" si="0"/>
        <v>-31867.175999999999</v>
      </c>
    </row>
    <row r="18" spans="1:9" ht="21.6" customHeight="1" x14ac:dyDescent="0.2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205</v>
      </c>
      <c r="F18" s="81">
        <f>'P&amp;L'!I137</f>
        <v>0</v>
      </c>
      <c r="G18" s="81">
        <f t="shared" si="0"/>
        <v>0</v>
      </c>
    </row>
    <row r="19" spans="1:9" ht="21.6" customHeight="1" x14ac:dyDescent="0.2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206</v>
      </c>
      <c r="F19" s="81">
        <f>'P&amp;L'!I135-'P&amp;L'!I137</f>
        <v>0</v>
      </c>
      <c r="G19" s="81">
        <f t="shared" si="0"/>
        <v>0</v>
      </c>
    </row>
    <row r="20" spans="1:9" ht="21.6" customHeight="1" x14ac:dyDescent="0.2">
      <c r="A20" s="80">
        <f>'P&amp;L'!D147</f>
        <v>-472069.7</v>
      </c>
      <c r="B20" s="78">
        <f>'P&amp;L'!E147</f>
        <v>-625800.848</v>
      </c>
      <c r="C20" s="78">
        <f>'P&amp;L'!F147</f>
        <v>142190.236</v>
      </c>
      <c r="D20" s="80">
        <f>'P&amp;L'!H147</f>
        <v>1601099.409</v>
      </c>
      <c r="E20" s="79" t="s">
        <v>207</v>
      </c>
      <c r="F20" s="78">
        <f>'P&amp;L'!I147</f>
        <v>1776712.9140000001</v>
      </c>
      <c r="G20" s="78">
        <f t="shared" si="0"/>
        <v>175613.50500000012</v>
      </c>
    </row>
    <row r="21" spans="1:9" ht="21.6" customHeight="1" x14ac:dyDescent="0.2">
      <c r="A21" s="77">
        <f>IFERROR(A20/A$7,0)</f>
        <v>-5.4065544375100479E-2</v>
      </c>
      <c r="B21" s="75">
        <f>IFERROR(B20/B$7,0)</f>
        <v>-3.813462790602104E-2</v>
      </c>
      <c r="C21" s="75">
        <f>IFERROR(C20/C$7,0)</f>
        <v>1.4000367004946548E-2</v>
      </c>
      <c r="D21" s="77">
        <f>IFERROR(D20/D$7,0)</f>
        <v>7.5481651505987513E-2</v>
      </c>
      <c r="E21" s="76" t="s">
        <v>198</v>
      </c>
      <c r="F21" s="75">
        <f>IFERROR(F20/F$7,0)</f>
        <v>8.6367563832628752E-2</v>
      </c>
      <c r="G21" s="75">
        <f t="shared" si="0"/>
        <v>1.0885912326641239E-2</v>
      </c>
    </row>
    <row r="23" spans="1:9" ht="18" x14ac:dyDescent="0.2">
      <c r="A23" s="1025" t="s">
        <v>208</v>
      </c>
      <c r="B23" s="1025"/>
      <c r="C23" s="1025"/>
      <c r="D23" s="1025"/>
      <c r="E23" s="1025"/>
      <c r="F23" s="1025"/>
      <c r="G23" s="1025"/>
    </row>
    <row r="25" spans="1:9" ht="13.9" customHeight="1" x14ac:dyDescent="0.2">
      <c r="A25" s="69" t="s">
        <v>1504</v>
      </c>
      <c r="B25" s="69"/>
      <c r="C25" s="69"/>
      <c r="D25" s="69"/>
      <c r="E25" s="69"/>
      <c r="F25" s="69"/>
      <c r="G25" s="69"/>
      <c r="I25" s="685" t="s">
        <v>209</v>
      </c>
    </row>
    <row r="26" spans="1:9" ht="13.9" customHeight="1" x14ac:dyDescent="0.2">
      <c r="A26" s="69" t="s">
        <v>1505</v>
      </c>
      <c r="B26" s="69"/>
      <c r="C26" s="69"/>
      <c r="D26" s="69"/>
      <c r="E26" s="69"/>
      <c r="F26" s="69"/>
      <c r="G26" s="69"/>
      <c r="I26" s="5"/>
    </row>
    <row r="27" spans="1:9" ht="13.9" customHeight="1" x14ac:dyDescent="0.2">
      <c r="A27" s="69" t="s">
        <v>210</v>
      </c>
      <c r="B27" s="69"/>
      <c r="C27" s="69"/>
      <c r="D27" s="69"/>
      <c r="E27" s="69"/>
      <c r="F27" s="69"/>
      <c r="G27" s="69"/>
      <c r="I27" s="685" t="s">
        <v>211</v>
      </c>
    </row>
    <row r="28" spans="1:9" ht="13.9" customHeight="1" x14ac:dyDescent="0.2">
      <c r="A28" s="69" t="s">
        <v>212</v>
      </c>
      <c r="B28" s="69"/>
      <c r="C28" s="69"/>
      <c r="D28" s="69"/>
      <c r="E28" s="69"/>
      <c r="F28" s="69"/>
      <c r="G28" s="69"/>
      <c r="I28" s="686" t="s">
        <v>213</v>
      </c>
    </row>
    <row r="29" spans="1:9" ht="13.9" customHeight="1" x14ac:dyDescent="0.2">
      <c r="A29" s="69" t="s">
        <v>1506</v>
      </c>
      <c r="B29" s="69"/>
      <c r="C29" s="69"/>
      <c r="D29" s="69"/>
      <c r="E29" s="69"/>
      <c r="F29" s="69"/>
      <c r="G29" s="69"/>
      <c r="I29" s="687" t="s">
        <v>214</v>
      </c>
    </row>
    <row r="30" spans="1:9" ht="13.9" customHeight="1" x14ac:dyDescent="0.2">
      <c r="A30" s="69"/>
      <c r="B30" s="69"/>
      <c r="C30" s="69"/>
      <c r="D30" s="69"/>
      <c r="E30" s="69"/>
      <c r="F30" s="69"/>
      <c r="G30" s="69"/>
      <c r="I30" s="687" t="s">
        <v>215</v>
      </c>
    </row>
    <row r="31" spans="1:9" ht="13.9" customHeight="1" x14ac:dyDescent="0.2">
      <c r="A31" s="69"/>
      <c r="B31" s="69"/>
      <c r="C31" s="69"/>
      <c r="D31" s="69"/>
      <c r="E31" s="69"/>
      <c r="F31" s="69"/>
      <c r="G31" s="69"/>
    </row>
    <row r="32" spans="1:9" ht="13.9" customHeight="1" x14ac:dyDescent="0.2">
      <c r="A32" s="69"/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Normal="100" workbookViewId="0">
      <pane ySplit="6" topLeftCell="A7" activePane="bottomLeft" state="frozen"/>
      <selection activeCell="H16" sqref="H16"/>
      <selection pane="bottomLeft" activeCell="A26" sqref="A26:G26"/>
    </sheetView>
  </sheetViews>
  <sheetFormatPr defaultColWidth="9.28515625" defaultRowHeight="12.75" customHeight="1" x14ac:dyDescent="0.2"/>
  <cols>
    <col min="1" max="4" width="16.7109375" style="5" customWidth="1"/>
    <col min="5" max="5" width="61.28515625" style="5" customWidth="1"/>
    <col min="6" max="7" width="18.7109375" style="5" customWidth="1"/>
    <col min="8" max="8" width="5.5703125" style="5" customWidth="1"/>
    <col min="9" max="9" width="76.42578125" style="5" bestFit="1" customWidth="1"/>
    <col min="10" max="17" width="9.28515625" style="3" customWidth="1"/>
    <col min="18" max="16384" width="9.28515625" style="3"/>
  </cols>
  <sheetData>
    <row r="1" spans="1:15" s="5" customFormat="1" ht="19.899999999999999" customHeight="1" x14ac:dyDescent="0.25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154</v>
      </c>
    </row>
    <row r="2" spans="1:15" s="5" customFormat="1" ht="19.899999999999999" customHeight="1" thickBot="1" x14ac:dyDescent="0.3">
      <c r="A2" s="55" t="s">
        <v>189</v>
      </c>
      <c r="B2" s="55"/>
      <c r="C2" s="55"/>
      <c r="D2" s="55"/>
      <c r="E2" s="55"/>
      <c r="F2" s="55"/>
      <c r="G2" s="54" t="str">
        <f>'Input-FX Rates'!$H$2</f>
        <v>7521 &amp; 7522 PL Mechatronic Sensors (&amp; Electrification)</v>
      </c>
      <c r="H2" s="71"/>
      <c r="I2" s="95" t="s">
        <v>156</v>
      </c>
    </row>
    <row r="3" spans="1:15" s="5" customFormat="1" ht="12.75" customHeight="1" x14ac:dyDescent="0.2">
      <c r="I3" s="73"/>
    </row>
    <row r="4" spans="1:15" x14ac:dyDescent="0.2">
      <c r="I4" s="73"/>
      <c r="J4" s="5"/>
      <c r="K4" s="5"/>
      <c r="L4" s="5"/>
      <c r="M4" s="5"/>
      <c r="N4" s="5"/>
      <c r="O4" s="5"/>
    </row>
    <row r="5" spans="1:15" ht="27.6" customHeight="1" x14ac:dyDescent="0.2">
      <c r="A5" s="40">
        <v>2022</v>
      </c>
      <c r="B5" s="1023">
        <v>2023</v>
      </c>
      <c r="C5" s="1023"/>
      <c r="D5" s="1021"/>
      <c r="E5" s="1024" t="str">
        <f>"in '000 "&amp;"EUR"</f>
        <v>in '000 EUR</v>
      </c>
      <c r="F5" s="41">
        <v>2024</v>
      </c>
      <c r="G5" s="41" t="s">
        <v>190</v>
      </c>
      <c r="I5" s="73"/>
      <c r="J5" s="5"/>
      <c r="K5" s="5"/>
      <c r="L5" s="5"/>
      <c r="M5" s="5"/>
      <c r="N5" s="5"/>
      <c r="O5" s="5"/>
    </row>
    <row r="6" spans="1:15" ht="27.6" customHeight="1" x14ac:dyDescent="0.2">
      <c r="A6" s="40" t="s">
        <v>191</v>
      </c>
      <c r="B6" s="41" t="s">
        <v>15</v>
      </c>
      <c r="C6" s="41" t="s">
        <v>192</v>
      </c>
      <c r="D6" s="40" t="s">
        <v>19</v>
      </c>
      <c r="E6" s="1024"/>
      <c r="F6" s="41" t="s">
        <v>15</v>
      </c>
      <c r="G6" s="41" t="s">
        <v>193</v>
      </c>
      <c r="I6" s="266" t="s">
        <v>194</v>
      </c>
      <c r="J6" s="5"/>
      <c r="K6" s="5"/>
      <c r="L6" s="5"/>
      <c r="M6" s="5"/>
      <c r="N6" s="5"/>
      <c r="O6" s="5"/>
    </row>
    <row r="7" spans="1:15" ht="21.6" customHeight="1" x14ac:dyDescent="0.2">
      <c r="A7" s="80">
        <f>IFERROR('1. Main Issues (LC)'!A7/'Input-FX Rates'!$C$16,0)</f>
        <v>6430.0853443020487</v>
      </c>
      <c r="B7" s="78">
        <f>IFERROR('1. Main Issues (LC)'!B7/'Input-FX Rates'!$D$16,0)</f>
        <v>12347.858759969902</v>
      </c>
      <c r="C7" s="78">
        <f>IFERROR('1. Main Issues (LC)'!C7/'Input-FX Rates'!$E$16,0)</f>
        <v>7249.997525078973</v>
      </c>
      <c r="D7" s="80">
        <f>IFERROR('1. Main Issues (LC)'!D7/'Input-FX Rates'!$G$16,0)</f>
        <v>15111.540802308424</v>
      </c>
      <c r="E7" s="79" t="s">
        <v>195</v>
      </c>
      <c r="F7" s="78">
        <f>IFERROR('1. Main Issues (LC)'!F7/'Input-FX Rates'!$H$16,0)</f>
        <v>14187.261937931033</v>
      </c>
      <c r="G7" s="78">
        <f t="shared" ref="G7:G21" si="0">F7-D7</f>
        <v>-924.27886437739107</v>
      </c>
      <c r="I7" s="266" t="s">
        <v>196</v>
      </c>
      <c r="J7" s="5"/>
      <c r="K7" s="5"/>
      <c r="L7" s="5"/>
      <c r="M7" s="5"/>
      <c r="N7" s="5"/>
      <c r="O7" s="5"/>
    </row>
    <row r="8" spans="1:15" ht="21.6" customHeight="1" x14ac:dyDescent="0.2">
      <c r="A8" s="94">
        <f>IFERROR('1. Main Issues (LC)'!A8/'Input-FX Rates'!$C$16,0)</f>
        <v>1803.1185875629321</v>
      </c>
      <c r="B8" s="92">
        <f>IFERROR('1. Main Issues (LC)'!B8/'Input-FX Rates'!$D$16,0)</f>
        <v>2513.4975959367948</v>
      </c>
      <c r="C8" s="92">
        <f>IFERROR('1. Main Issues (LC)'!C8/'Input-FX Rates'!$E$16,0)</f>
        <v>1548.3232185183656</v>
      </c>
      <c r="D8" s="94">
        <f>IFERROR('1. Main Issues (LC)'!D8/'Input-FX Rates'!$G$16,0)</f>
        <v>4020.5110852391203</v>
      </c>
      <c r="E8" s="93" t="s">
        <v>197</v>
      </c>
      <c r="F8" s="92">
        <f>IFERROR('1. Main Issues (LC)'!F8/'Input-FX Rates'!$H$16,0)</f>
        <v>4842.1016889655175</v>
      </c>
      <c r="G8" s="92">
        <f t="shared" si="0"/>
        <v>821.59060372639715</v>
      </c>
      <c r="J8" s="5"/>
      <c r="K8" s="5"/>
      <c r="L8" s="5"/>
      <c r="M8" s="5"/>
      <c r="N8" s="5"/>
      <c r="O8" s="5"/>
    </row>
    <row r="9" spans="1:15" ht="21.6" customHeight="1" x14ac:dyDescent="0.2">
      <c r="A9" s="91">
        <f>IFERROR(A8/A$7,0)</f>
        <v>0.28041907548874856</v>
      </c>
      <c r="B9" s="86">
        <f>IFERROR(B8/B$7,0)</f>
        <v>0.20355736527252935</v>
      </c>
      <c r="C9" s="86">
        <f>IFERROR(C8/C$7,0)</f>
        <v>0.21356189614719903</v>
      </c>
      <c r="D9" s="91">
        <f>IFERROR(D8/D$7,0)</f>
        <v>0.26605566817018095</v>
      </c>
      <c r="E9" s="90" t="s">
        <v>198</v>
      </c>
      <c r="F9" s="86">
        <f>IFERROR(F8/F$7,0)</f>
        <v>0.34129923801714585</v>
      </c>
      <c r="G9" s="86">
        <f t="shared" si="0"/>
        <v>7.5243569846964897E-2</v>
      </c>
      <c r="H9" s="73"/>
      <c r="I9" s="73"/>
      <c r="J9" s="5"/>
      <c r="K9" s="5"/>
      <c r="L9" s="5"/>
      <c r="M9" s="5"/>
      <c r="N9" s="5"/>
      <c r="O9" s="5"/>
    </row>
    <row r="10" spans="1:15" ht="21.6" customHeight="1" x14ac:dyDescent="0.2">
      <c r="A10" s="83">
        <f>IFERROR('1. Main Issues (LC)'!A10/'Input-FX Rates'!$C$16,0)</f>
        <v>-871.63030451382917</v>
      </c>
      <c r="B10" s="81">
        <f>IFERROR('1. Main Issues (LC)'!B10/'Input-FX Rates'!$D$16,0)</f>
        <v>-1098.5767148231755</v>
      </c>
      <c r="C10" s="81">
        <f>IFERROR('1. Main Issues (LC)'!C10/'Input-FX Rates'!$E$16,0)</f>
        <v>-584.93222606875224</v>
      </c>
      <c r="D10" s="83">
        <f>IFERROR('1. Main Issues (LC)'!D10/'Input-FX Rates'!$G$16,0)</f>
        <v>-1165.6587397467918</v>
      </c>
      <c r="E10" s="82" t="s">
        <v>199</v>
      </c>
      <c r="F10" s="85">
        <f>IFERROR('1. Main Issues (LC)'!F10/'Input-FX Rates'!$H$16,0)</f>
        <v>-1668.7794586206896</v>
      </c>
      <c r="G10" s="81">
        <f t="shared" si="0"/>
        <v>-503.12071887389789</v>
      </c>
      <c r="I10" s="73"/>
      <c r="J10" s="5"/>
      <c r="K10" s="5"/>
      <c r="L10" s="5"/>
      <c r="M10" s="5"/>
      <c r="N10" s="5"/>
      <c r="O10" s="5"/>
    </row>
    <row r="11" spans="1:15" ht="21.6" customHeight="1" x14ac:dyDescent="0.2">
      <c r="A11" s="89">
        <f>IFERROR(A10/A$7,0)</f>
        <v>-0.13555501332283482</v>
      </c>
      <c r="B11" s="87">
        <f>IFERROR(B10/B$7,0)</f>
        <v>-8.8969005572416618E-2</v>
      </c>
      <c r="C11" s="87">
        <f>IFERROR(C10/C$7,0)</f>
        <v>-8.0680334585683966E-2</v>
      </c>
      <c r="D11" s="89">
        <f>IFERROR(D10/D$7,0)</f>
        <v>-7.7136987882051505E-2</v>
      </c>
      <c r="E11" s="88" t="s">
        <v>198</v>
      </c>
      <c r="F11" s="87">
        <f>IFERROR(F10/F$7,0)</f>
        <v>-0.11762519546911618</v>
      </c>
      <c r="G11" s="86">
        <f t="shared" si="0"/>
        <v>-4.0488207587064673E-2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 x14ac:dyDescent="0.2">
      <c r="A12" s="83">
        <f>IFERROR('1. Main Issues (LC)'!A12/'Input-FX Rates'!$C$16,0)</f>
        <v>-290.59740996705369</v>
      </c>
      <c r="B12" s="81">
        <f>IFERROR('1. Main Issues (LC)'!B12/'Input-FX Rates'!$D$16,0)</f>
        <v>-322.25103837471784</v>
      </c>
      <c r="C12" s="81">
        <f>IFERROR('1. Main Issues (LC)'!C12/'Input-FX Rates'!$E$16,0)</f>
        <v>-98.558169688609254</v>
      </c>
      <c r="D12" s="81">
        <f>IFERROR('1. Main Issues (LC)'!D12/'Input-FX Rates'!$G$16,0)</f>
        <v>-212.87887994197882</v>
      </c>
      <c r="E12" s="82" t="s">
        <v>200</v>
      </c>
      <c r="F12" s="85">
        <f>IFERROR('1. Main Issues (LC)'!F12/'Input-FX Rates'!$H$16,0)</f>
        <v>-129.40859103448275</v>
      </c>
      <c r="G12" s="81">
        <f t="shared" si="0"/>
        <v>83.470288907496069</v>
      </c>
      <c r="I12" s="73"/>
      <c r="J12" s="5"/>
      <c r="K12" s="5"/>
      <c r="L12" s="5"/>
      <c r="M12" s="5"/>
      <c r="N12" s="5"/>
      <c r="O12" s="5"/>
    </row>
    <row r="13" spans="1:15" ht="21.6" customHeight="1" x14ac:dyDescent="0.2">
      <c r="A13" s="83">
        <f>IFERROR('1. Main Issues (LC)'!A13/'Input-FX Rates'!$C$16,0)</f>
        <v>108.69722457902171</v>
      </c>
      <c r="B13" s="81">
        <f>IFERROR('1. Main Issues (LC)'!B13/'Input-FX Rates'!$D$16,0)</f>
        <v>0</v>
      </c>
      <c r="C13" s="81">
        <f>IFERROR('1. Main Issues (LC)'!C13/'Input-FX Rates'!$E$16,0)</f>
        <v>-68.401135628256384</v>
      </c>
      <c r="D13" s="83">
        <f>IFERROR('1. Main Issues (LC)'!D13/'Input-FX Rates'!$G$16,0)</f>
        <v>-77.657469029945815</v>
      </c>
      <c r="E13" s="82" t="s">
        <v>201</v>
      </c>
      <c r="F13" s="81">
        <f>IFERROR('1. Main Issues (LC)'!F13/'Input-FX Rates'!$H$16,0)</f>
        <v>0</v>
      </c>
      <c r="G13" s="81">
        <f t="shared" si="0"/>
        <v>77.657469029945815</v>
      </c>
      <c r="I13" s="73"/>
      <c r="J13" s="5"/>
      <c r="K13" s="5"/>
      <c r="L13" s="5"/>
      <c r="M13" s="5"/>
      <c r="N13" s="5"/>
      <c r="O13" s="5"/>
    </row>
    <row r="14" spans="1:15" ht="21.6" customHeight="1" x14ac:dyDescent="0.2">
      <c r="A14" s="80">
        <f>IFERROR('1. Main Issues (LC)'!A14/'Input-FX Rates'!$C$16,0)</f>
        <v>749.58809766107117</v>
      </c>
      <c r="B14" s="78">
        <f>IFERROR('1. Main Issues (LC)'!B14/'Input-FX Rates'!$D$16,0)</f>
        <v>1092.6698427389013</v>
      </c>
      <c r="C14" s="78">
        <f>IFERROR('1. Main Issues (LC)'!C14/'Input-FX Rates'!$E$16,0)</f>
        <v>796.43168713274792</v>
      </c>
      <c r="D14" s="80">
        <f>IFERROR('1. Main Issues (LC)'!D14/'Input-FX Rates'!$G$16,0)</f>
        <v>2564.315996520404</v>
      </c>
      <c r="E14" s="79" t="s">
        <v>202</v>
      </c>
      <c r="F14" s="78">
        <f>IFERROR('1. Main Issues (LC)'!F14/'Input-FX Rates'!$H$16,0)</f>
        <v>3043.9136393103445</v>
      </c>
      <c r="G14" s="78">
        <f t="shared" si="0"/>
        <v>479.59764278994044</v>
      </c>
      <c r="I14" s="73"/>
      <c r="J14" s="5"/>
      <c r="K14" s="5"/>
      <c r="L14" s="5"/>
      <c r="M14" s="5"/>
      <c r="N14" s="5"/>
      <c r="O14" s="5"/>
    </row>
    <row r="15" spans="1:15" ht="21.6" customHeight="1" x14ac:dyDescent="0.2">
      <c r="A15" s="77">
        <f>IFERROR(A14/A$7,0)</f>
        <v>0.11657513975694127</v>
      </c>
      <c r="B15" s="75">
        <f>IFERROR(B14/B$7,0)</f>
        <v>8.8490633394770438E-2</v>
      </c>
      <c r="C15" s="75">
        <f>IFERROR(C14/C$7,0)</f>
        <v>0.10985268400130557</v>
      </c>
      <c r="D15" s="77">
        <f>IFERROR(D14/D$7,0)</f>
        <v>0.16969255683898771</v>
      </c>
      <c r="E15" s="84" t="s">
        <v>198</v>
      </c>
      <c r="F15" s="75">
        <f>IFERROR(F14/F$7,0)</f>
        <v>0.21455257911127612</v>
      </c>
      <c r="G15" s="75">
        <f t="shared" si="0"/>
        <v>4.4860022272288413E-2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 x14ac:dyDescent="0.2">
      <c r="A16" s="83">
        <f>IFERROR('1. Main Issues (LC)'!A16/'Input-FX Rates'!$C$16,0)</f>
        <v>-1093.0588917756354</v>
      </c>
      <c r="B16" s="81">
        <f>IFERROR('1. Main Issues (LC)'!B16/'Input-FX Rates'!$D$16,0)</f>
        <v>-1563.5508419864559</v>
      </c>
      <c r="C16" s="81">
        <f>IFERROR('1. Main Issues (LC)'!C16/'Input-FX Rates'!$E$16,0)</f>
        <v>-673.51305324175462</v>
      </c>
      <c r="D16" s="83">
        <f>IFERROR('1. Main Issues (LC)'!D16/'Input-FX Rates'!$G$16,0)</f>
        <v>-1446.3745308813732</v>
      </c>
      <c r="E16" s="82" t="s">
        <v>203</v>
      </c>
      <c r="F16" s="81">
        <f>IFERROR('1. Main Issues (LC)'!F16/'Input-FX Rates'!$H$16,0)</f>
        <v>-1818.594388275862</v>
      </c>
      <c r="G16" s="81">
        <f t="shared" si="0"/>
        <v>-372.21985739448883</v>
      </c>
      <c r="I16" s="73"/>
      <c r="J16" s="5"/>
      <c r="K16" s="5"/>
      <c r="L16" s="5"/>
      <c r="M16" s="5"/>
      <c r="N16" s="5"/>
      <c r="O16" s="5"/>
    </row>
    <row r="17" spans="1:15" ht="21.6" customHeight="1" x14ac:dyDescent="0.2">
      <c r="A17" s="83">
        <f>IFERROR('1. Main Issues (LC)'!A17/'Input-FX Rates'!$C$16,0)</f>
        <v>-4.1752704034814148</v>
      </c>
      <c r="B17" s="81">
        <f>IFERROR('1. Main Issues (LC)'!B17/'Input-FX Rates'!$D$16,0)</f>
        <v>0</v>
      </c>
      <c r="C17" s="81">
        <f>IFERROR('1. Main Issues (LC)'!C17/'Input-FX Rates'!$E$16,0)</f>
        <v>-21.416007754933393</v>
      </c>
      <c r="D17" s="83">
        <f>IFERROR('1. Main Issues (LC)'!D17/'Input-FX Rates'!$G$16,0)</f>
        <v>22.7025909193244</v>
      </c>
      <c r="E17" s="82" t="s">
        <v>204</v>
      </c>
      <c r="F17" s="81">
        <f>IFERROR('1. Main Issues (LC)'!F17/'Input-FX Rates'!$H$16,0)</f>
        <v>0</v>
      </c>
      <c r="G17" s="81">
        <f t="shared" si="0"/>
        <v>-22.7025909193244</v>
      </c>
      <c r="I17" s="73"/>
      <c r="J17" s="5"/>
      <c r="K17" s="5"/>
      <c r="L17" s="5"/>
      <c r="M17" s="5"/>
      <c r="N17" s="5"/>
      <c r="O17" s="5"/>
    </row>
    <row r="18" spans="1:15" ht="21.6" customHeight="1" x14ac:dyDescent="0.2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205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 x14ac:dyDescent="0.2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206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 x14ac:dyDescent="0.2">
      <c r="A20" s="80">
        <f>IFERROR('1. Main Issues (LC)'!A20/'Input-FX Rates'!$C$16,0)</f>
        <v>-347.64606451804565</v>
      </c>
      <c r="B20" s="78">
        <f>IFERROR('1. Main Issues (LC)'!B20/'Input-FX Rates'!$D$16,0)</f>
        <v>-470.88099924755454</v>
      </c>
      <c r="C20" s="78">
        <f>IFERROR('1. Main Issues (LC)'!C20/'Input-FX Rates'!$E$16,0)</f>
        <v>101.50262613605979</v>
      </c>
      <c r="D20" s="80">
        <f>IFERROR('1. Main Issues (LC)'!D20/'Input-FX Rates'!$G$16,0)</f>
        <v>1140.6440565583553</v>
      </c>
      <c r="E20" s="79" t="s">
        <v>207</v>
      </c>
      <c r="F20" s="78">
        <f>IFERROR('1. Main Issues (LC)'!F20/'Input-FX Rates'!$H$16,0)</f>
        <v>1225.3192510344829</v>
      </c>
      <c r="G20" s="78">
        <f t="shared" si="0"/>
        <v>84.675194476127672</v>
      </c>
      <c r="I20" s="73"/>
      <c r="J20" s="5"/>
      <c r="K20" s="5"/>
      <c r="L20" s="5"/>
      <c r="M20" s="5"/>
      <c r="N20" s="5"/>
      <c r="O20" s="5"/>
    </row>
    <row r="21" spans="1:15" ht="21.6" customHeight="1" x14ac:dyDescent="0.2">
      <c r="A21" s="77">
        <f>IFERROR(A20/A$7,0)</f>
        <v>-5.4065544375100479E-2</v>
      </c>
      <c r="B21" s="75">
        <f>IFERROR(B20/B$7,0)</f>
        <v>-3.8134627906021033E-2</v>
      </c>
      <c r="C21" s="75">
        <f>IFERROR(C20/C$7,0)</f>
        <v>1.4000367004946548E-2</v>
      </c>
      <c r="D21" s="77">
        <f>IFERROR(D20/D$7,0)</f>
        <v>7.5481651505987499E-2</v>
      </c>
      <c r="E21" s="76" t="s">
        <v>198</v>
      </c>
      <c r="F21" s="75">
        <f>IFERROR(F20/F$7,0)</f>
        <v>8.6367563832628766E-2</v>
      </c>
      <c r="G21" s="75">
        <f t="shared" si="0"/>
        <v>1.0885912326641267E-2</v>
      </c>
      <c r="I21" s="73"/>
      <c r="J21" s="5"/>
      <c r="K21" s="5"/>
      <c r="L21" s="5"/>
      <c r="M21" s="5"/>
      <c r="N21" s="5"/>
      <c r="O21" s="5"/>
    </row>
    <row r="22" spans="1:15" x14ac:dyDescent="0.2">
      <c r="I22" s="73"/>
      <c r="J22" s="5"/>
      <c r="K22" s="5"/>
      <c r="L22" s="5"/>
      <c r="M22" s="5"/>
      <c r="N22" s="5"/>
      <c r="O22" s="5"/>
    </row>
    <row r="23" spans="1:15" ht="18" x14ac:dyDescent="0.2">
      <c r="A23" s="1025" t="s">
        <v>208</v>
      </c>
      <c r="B23" s="1025"/>
      <c r="C23" s="1025"/>
      <c r="D23" s="1025"/>
      <c r="E23" s="1025"/>
      <c r="F23" s="1025"/>
      <c r="G23" s="1025"/>
      <c r="I23" s="73"/>
      <c r="J23" s="5"/>
      <c r="K23" s="5"/>
      <c r="L23" s="5"/>
      <c r="M23" s="5"/>
      <c r="N23" s="5"/>
      <c r="O23" s="5"/>
    </row>
    <row r="24" spans="1:15" x14ac:dyDescent="0.2">
      <c r="I24" s="73"/>
      <c r="J24" s="5"/>
      <c r="K24" s="5"/>
      <c r="L24" s="5"/>
      <c r="M24" s="5"/>
      <c r="N24" s="5"/>
      <c r="O24" s="5"/>
    </row>
    <row r="25" spans="1:15" ht="13.9" customHeight="1" x14ac:dyDescent="0.2">
      <c r="A25" s="1026" t="str">
        <f>IF(ISBLANK('1. Main Issues (LC)'!A25),"",'1. Main Issues (LC)'!A25)</f>
        <v>Contribution Margin after variations 34.1%</v>
      </c>
      <c r="B25" s="1026"/>
      <c r="C25" s="1026"/>
      <c r="D25" s="1026"/>
      <c r="E25" s="1026"/>
      <c r="F25" s="1026"/>
      <c r="G25" s="1026"/>
      <c r="I25" s="685" t="s">
        <v>209</v>
      </c>
      <c r="J25" s="5"/>
      <c r="K25" s="5"/>
      <c r="L25" s="5"/>
      <c r="M25" s="5"/>
      <c r="N25" s="5"/>
      <c r="O25" s="5"/>
    </row>
    <row r="26" spans="1:15" ht="13.9" customHeight="1" x14ac:dyDescent="0.2">
      <c r="A26" s="1026" t="str">
        <f>IF(ISBLANK('1. Main Issues (LC)'!A26),"",'1. Main Issues (LC)'!A26)</f>
        <v>Operator HC increase by 1, Technician HC increase by 2(compared to YearEnd 2023)</v>
      </c>
      <c r="B26" s="1026"/>
      <c r="C26" s="1026"/>
      <c r="D26" s="1026"/>
      <c r="E26" s="1026"/>
      <c r="F26" s="1026"/>
      <c r="G26" s="1026"/>
      <c r="J26" s="5"/>
      <c r="K26" s="5"/>
      <c r="L26" s="5"/>
      <c r="M26" s="5"/>
      <c r="N26" s="5"/>
      <c r="O26" s="5"/>
    </row>
    <row r="27" spans="1:15" ht="13.9" customHeight="1" x14ac:dyDescent="0.2">
      <c r="A27" s="1026" t="str">
        <f>IF(ISBLANK('1. Main Issues (LC)'!A27),"",'1. Main Issues (LC)'!A27)</f>
        <v>Knock sensor volume decreases from 5.6mio to 4.7mio units(-16%)</v>
      </c>
      <c r="B27" s="1026"/>
      <c r="C27" s="1026"/>
      <c r="D27" s="1026"/>
      <c r="E27" s="1026"/>
      <c r="F27" s="1026"/>
      <c r="G27" s="1026"/>
      <c r="I27" s="685" t="s">
        <v>211</v>
      </c>
      <c r="J27" s="5"/>
      <c r="K27" s="5"/>
      <c r="L27" s="5"/>
      <c r="M27" s="5"/>
      <c r="N27" s="5"/>
      <c r="O27" s="5"/>
    </row>
    <row r="28" spans="1:15" ht="13.9" customHeight="1" x14ac:dyDescent="0.2">
      <c r="A28" s="1026" t="str">
        <f>IF(ISBLANK('1. Main Issues (LC)'!A28),"",'1. Main Issues (LC)'!A28)</f>
        <v>variable maintenance cost &amp; supplies increase due to old equipments &amp; spare parts replacement</v>
      </c>
      <c r="B28" s="1026"/>
      <c r="C28" s="1026"/>
      <c r="D28" s="1026"/>
      <c r="E28" s="1026"/>
      <c r="F28" s="1026"/>
      <c r="G28" s="1026"/>
      <c r="I28" s="686" t="s">
        <v>213</v>
      </c>
      <c r="J28" s="5"/>
      <c r="K28" s="5"/>
      <c r="L28" s="5"/>
      <c r="M28" s="5"/>
      <c r="N28" s="5"/>
      <c r="O28" s="5"/>
    </row>
    <row r="29" spans="1:15" ht="13.9" customHeight="1" x14ac:dyDescent="0.2">
      <c r="A29" s="1026" t="str">
        <f>IF(ISBLANK('1. Main Issues (LC)'!A29),"",'1. Main Issues (LC)'!A29)</f>
        <v>EBIT 8.6%</v>
      </c>
      <c r="B29" s="1026"/>
      <c r="C29" s="1026"/>
      <c r="D29" s="1026"/>
      <c r="E29" s="1026"/>
      <c r="F29" s="1026"/>
      <c r="G29" s="1026"/>
      <c r="I29" s="687" t="s">
        <v>214</v>
      </c>
      <c r="J29" s="5"/>
      <c r="K29" s="5"/>
      <c r="L29" s="5"/>
      <c r="M29" s="5"/>
      <c r="N29" s="5"/>
      <c r="O29" s="5"/>
    </row>
    <row r="30" spans="1:15" ht="13.9" customHeight="1" x14ac:dyDescent="0.2">
      <c r="A30" s="1026" t="str">
        <f>IF(ISBLANK('1. Main Issues (LC)'!A30),"",'1. Main Issues (LC)'!A30)</f>
        <v/>
      </c>
      <c r="B30" s="1026"/>
      <c r="C30" s="1026"/>
      <c r="D30" s="1026"/>
      <c r="E30" s="1026"/>
      <c r="F30" s="1026"/>
      <c r="G30" s="1026"/>
      <c r="I30" s="687" t="s">
        <v>215</v>
      </c>
      <c r="J30" s="5"/>
      <c r="K30" s="5"/>
      <c r="L30" s="5"/>
      <c r="M30" s="5"/>
      <c r="N30" s="5"/>
      <c r="O30" s="5"/>
    </row>
    <row r="31" spans="1:15" ht="13.9" customHeight="1" x14ac:dyDescent="0.2">
      <c r="A31" s="1026" t="str">
        <f>IF(ISBLANK('1. Main Issues (LC)'!A31),"",'1. Main Issues (LC)'!A31)</f>
        <v/>
      </c>
      <c r="B31" s="1026"/>
      <c r="C31" s="1026"/>
      <c r="D31" s="1026"/>
      <c r="E31" s="1026"/>
      <c r="F31" s="1026"/>
      <c r="G31" s="1026"/>
      <c r="I31" s="73"/>
      <c r="J31" s="5"/>
      <c r="K31" s="5"/>
      <c r="L31" s="5"/>
      <c r="M31" s="5"/>
      <c r="N31" s="5"/>
      <c r="O31" s="5"/>
    </row>
    <row r="32" spans="1:15" ht="13.9" customHeight="1" x14ac:dyDescent="0.2">
      <c r="A32" s="1026" t="str">
        <f>IF(ISBLANK('1. Main Issues (LC)'!A32),"",'1. Main Issues (LC)'!A32)</f>
        <v/>
      </c>
      <c r="B32" s="1026"/>
      <c r="C32" s="1026"/>
      <c r="D32" s="1026"/>
      <c r="E32" s="1026"/>
      <c r="F32" s="1026"/>
      <c r="G32" s="1026"/>
      <c r="I32" s="74"/>
      <c r="J32" s="5"/>
      <c r="K32" s="5"/>
      <c r="L32" s="5"/>
      <c r="M32" s="5"/>
      <c r="N32" s="5"/>
      <c r="O32" s="5"/>
    </row>
  </sheetData>
  <mergeCells count="11">
    <mergeCell ref="A32:G32"/>
    <mergeCell ref="A26:G26"/>
    <mergeCell ref="A27:G27"/>
    <mergeCell ref="A28:G28"/>
    <mergeCell ref="A29:G29"/>
    <mergeCell ref="A30:G30"/>
    <mergeCell ref="B5:D5"/>
    <mergeCell ref="E5:E6"/>
    <mergeCell ref="A23:G23"/>
    <mergeCell ref="A25:G25"/>
    <mergeCell ref="A31:G31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A19" sqref="A19"/>
    </sheetView>
  </sheetViews>
  <sheetFormatPr defaultColWidth="9.28515625" defaultRowHeight="12.75" customHeight="1" x14ac:dyDescent="0.2"/>
  <cols>
    <col min="1" max="1" width="45.5703125" style="220" bestFit="1" customWidth="1"/>
    <col min="2" max="3" width="36.7109375" style="220" customWidth="1"/>
    <col min="4" max="4" width="69.42578125" style="220" bestFit="1" customWidth="1"/>
    <col min="5" max="5" width="9.28515625" style="220"/>
    <col min="6" max="6" width="88.7109375" style="220" bestFit="1" customWidth="1"/>
    <col min="7" max="16384" width="9.28515625" style="439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89" t="s">
        <v>154</v>
      </c>
    </row>
    <row r="2" spans="1:6" ht="19.899999999999999" customHeight="1" thickBot="1" x14ac:dyDescent="0.3">
      <c r="A2" s="55" t="s">
        <v>216</v>
      </c>
      <c r="B2" s="55"/>
      <c r="C2" s="54"/>
      <c r="D2" s="54" t="str">
        <f>'Input-FX Rates'!$H$2</f>
        <v>7521 &amp; 7522 PL Mechatronic Sensors (&amp; Electrification)</v>
      </c>
      <c r="F2" s="95" t="s">
        <v>156</v>
      </c>
    </row>
    <row r="4" spans="1:6" ht="24" customHeight="1" x14ac:dyDescent="0.2">
      <c r="A4" s="644" t="str">
        <f>"in '000 "&amp;'Input-FX Rates'!$B$8</f>
        <v>in '000 KRW</v>
      </c>
      <c r="B4" s="1027" t="s">
        <v>153</v>
      </c>
      <c r="C4" s="1028"/>
      <c r="D4" s="186"/>
      <c r="F4" s="266"/>
    </row>
    <row r="5" spans="1:6" ht="24" customHeight="1" x14ac:dyDescent="0.2">
      <c r="A5" s="644"/>
      <c r="B5" s="186" t="s">
        <v>217</v>
      </c>
      <c r="C5" s="644" t="s">
        <v>218</v>
      </c>
      <c r="D5" s="186" t="s">
        <v>208</v>
      </c>
      <c r="F5" s="266" t="s">
        <v>219</v>
      </c>
    </row>
    <row r="6" spans="1:6" ht="22.9" customHeight="1" x14ac:dyDescent="0.2">
      <c r="A6" s="440" t="s">
        <v>220</v>
      </c>
      <c r="B6" s="78">
        <f>SUM(B7:B16)</f>
        <v>0</v>
      </c>
      <c r="C6" s="264">
        <f>SUM(C7:C16)</f>
        <v>0</v>
      </c>
      <c r="D6" s="953"/>
      <c r="F6" s="266"/>
    </row>
    <row r="7" spans="1:6" ht="19.149999999999999" customHeight="1" x14ac:dyDescent="0.2">
      <c r="A7" s="688" t="s">
        <v>221</v>
      </c>
      <c r="B7" s="689"/>
      <c r="C7" s="690"/>
      <c r="D7" s="955" t="s">
        <v>222</v>
      </c>
      <c r="F7" s="266" t="s">
        <v>223</v>
      </c>
    </row>
    <row r="8" spans="1:6" ht="19.149999999999999" customHeight="1" x14ac:dyDescent="0.2">
      <c r="A8" s="688" t="s">
        <v>224</v>
      </c>
      <c r="B8" s="689"/>
      <c r="C8" s="690"/>
      <c r="D8" s="955"/>
      <c r="F8" s="266" t="s">
        <v>225</v>
      </c>
    </row>
    <row r="9" spans="1:6" ht="19.149999999999999" customHeight="1" x14ac:dyDescent="0.2">
      <c r="A9" s="688" t="s">
        <v>226</v>
      </c>
      <c r="B9" s="689"/>
      <c r="C9" s="690"/>
      <c r="D9" s="955"/>
      <c r="F9" s="266"/>
    </row>
    <row r="10" spans="1:6" ht="19.149999999999999" customHeight="1" x14ac:dyDescent="0.2">
      <c r="A10" s="688" t="s">
        <v>227</v>
      </c>
      <c r="B10" s="689"/>
      <c r="C10" s="690"/>
      <c r="D10" s="955"/>
      <c r="F10" s="266" t="s">
        <v>228</v>
      </c>
    </row>
    <row r="11" spans="1:6" ht="19.149999999999999" customHeight="1" x14ac:dyDescent="0.2">
      <c r="A11" s="688" t="s">
        <v>229</v>
      </c>
      <c r="B11" s="689"/>
      <c r="C11" s="690"/>
      <c r="D11" s="955"/>
      <c r="F11" s="266" t="s">
        <v>230</v>
      </c>
    </row>
    <row r="12" spans="1:6" ht="19.149999999999999" customHeight="1" x14ac:dyDescent="0.2">
      <c r="A12" s="688" t="s">
        <v>231</v>
      </c>
      <c r="B12" s="689"/>
      <c r="C12" s="690"/>
      <c r="D12" s="955"/>
      <c r="F12" s="266"/>
    </row>
    <row r="13" spans="1:6" ht="19.149999999999999" customHeight="1" x14ac:dyDescent="0.2">
      <c r="A13" s="688" t="s">
        <v>232</v>
      </c>
      <c r="B13" s="689"/>
      <c r="C13" s="690"/>
      <c r="D13" s="955"/>
      <c r="F13" s="266"/>
    </row>
    <row r="14" spans="1:6" ht="19.149999999999999" customHeight="1" x14ac:dyDescent="0.2">
      <c r="A14" s="688" t="s">
        <v>233</v>
      </c>
      <c r="B14" s="689"/>
      <c r="C14" s="690"/>
      <c r="D14" s="955"/>
      <c r="F14" s="266" t="s">
        <v>234</v>
      </c>
    </row>
    <row r="15" spans="1:6" ht="19.149999999999999" customHeight="1" x14ac:dyDescent="0.2">
      <c r="A15" s="688" t="s">
        <v>235</v>
      </c>
      <c r="B15" s="689"/>
      <c r="C15" s="690"/>
      <c r="D15" s="955"/>
      <c r="F15" s="266"/>
    </row>
    <row r="16" spans="1:6" ht="19.149999999999999" customHeight="1" x14ac:dyDescent="0.2">
      <c r="A16" s="688" t="s">
        <v>236</v>
      </c>
      <c r="B16" s="689"/>
      <c r="C16" s="690"/>
      <c r="D16" s="955"/>
      <c r="F16" s="266"/>
    </row>
    <row r="17" spans="1:6" ht="22.9" customHeight="1" x14ac:dyDescent="0.2">
      <c r="A17" s="440" t="s">
        <v>237</v>
      </c>
      <c r="B17" s="78">
        <f>SUM(B18:B27)</f>
        <v>0</v>
      </c>
      <c r="C17" s="264">
        <f>SUM(C18:C27)</f>
        <v>0</v>
      </c>
      <c r="D17" s="953"/>
      <c r="F17" s="266"/>
    </row>
    <row r="18" spans="1:6" ht="19.149999999999999" customHeight="1" x14ac:dyDescent="0.2">
      <c r="A18" s="688" t="s">
        <v>238</v>
      </c>
      <c r="B18" s="689"/>
      <c r="C18" s="690"/>
      <c r="D18" s="955"/>
    </row>
    <row r="19" spans="1:6" ht="19.149999999999999" customHeight="1" x14ac:dyDescent="0.2">
      <c r="A19" s="688" t="s">
        <v>224</v>
      </c>
      <c r="B19" s="689"/>
      <c r="C19" s="690"/>
      <c r="D19" s="955"/>
      <c r="F19" s="684"/>
    </row>
    <row r="20" spans="1:6" ht="19.149999999999999" customHeight="1" x14ac:dyDescent="0.2">
      <c r="A20" s="688" t="s">
        <v>226</v>
      </c>
      <c r="B20" s="689"/>
      <c r="C20" s="690"/>
      <c r="D20" s="955"/>
      <c r="F20" s="684"/>
    </row>
    <row r="21" spans="1:6" ht="19.149999999999999" customHeight="1" x14ac:dyDescent="0.2">
      <c r="A21" s="688" t="s">
        <v>227</v>
      </c>
      <c r="B21" s="689"/>
      <c r="C21" s="690"/>
      <c r="D21" s="955"/>
      <c r="F21" s="684"/>
    </row>
    <row r="22" spans="1:6" ht="19.149999999999999" customHeight="1" x14ac:dyDescent="0.2">
      <c r="A22" s="688" t="s">
        <v>229</v>
      </c>
      <c r="B22" s="689"/>
      <c r="C22" s="690"/>
      <c r="D22" s="955"/>
    </row>
    <row r="23" spans="1:6" ht="19.149999999999999" customHeight="1" x14ac:dyDescent="0.2">
      <c r="A23" s="688" t="s">
        <v>231</v>
      </c>
      <c r="B23" s="689"/>
      <c r="C23" s="690"/>
      <c r="D23" s="955"/>
    </row>
    <row r="24" spans="1:6" ht="19.149999999999999" customHeight="1" x14ac:dyDescent="0.2">
      <c r="A24" s="688" t="s">
        <v>232</v>
      </c>
      <c r="B24" s="689"/>
      <c r="C24" s="690"/>
      <c r="D24" s="955"/>
    </row>
    <row r="25" spans="1:6" ht="19.149999999999999" customHeight="1" x14ac:dyDescent="0.2">
      <c r="A25" s="688" t="s">
        <v>233</v>
      </c>
      <c r="B25" s="689"/>
      <c r="C25" s="690"/>
      <c r="D25" s="955"/>
    </row>
    <row r="26" spans="1:6" ht="19.149999999999999" customHeight="1" x14ac:dyDescent="0.2">
      <c r="A26" s="688" t="s">
        <v>235</v>
      </c>
      <c r="B26" s="689"/>
      <c r="C26" s="690"/>
      <c r="D26" s="955"/>
    </row>
    <row r="27" spans="1:6" ht="19.149999999999999" customHeight="1" x14ac:dyDescent="0.2">
      <c r="A27" s="688" t="s">
        <v>236</v>
      </c>
      <c r="B27" s="689"/>
      <c r="C27" s="690"/>
      <c r="D27" s="955"/>
    </row>
    <row r="28" spans="1:6" ht="22.5" customHeight="1" x14ac:dyDescent="0.2">
      <c r="A28" s="440" t="s">
        <v>239</v>
      </c>
      <c r="B28" s="78">
        <f>SUM(B17,B6)</f>
        <v>0</v>
      </c>
      <c r="C28" s="264">
        <f>SUM(C17,C6)</f>
        <v>0</v>
      </c>
      <c r="D28" s="953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Normal="100" workbookViewId="0">
      <pane xSplit="1" ySplit="5" topLeftCell="B6" activePane="bottomRight" state="frozen"/>
      <selection pane="topRight" activeCell="H16" sqref="H16"/>
      <selection pane="bottomLeft" activeCell="H16" sqref="H16"/>
      <selection pane="bottomRight" activeCell="D37" sqref="D37"/>
    </sheetView>
  </sheetViews>
  <sheetFormatPr defaultColWidth="9.28515625" defaultRowHeight="12.75" customHeight="1" x14ac:dyDescent="0.2"/>
  <cols>
    <col min="1" max="1" width="45.5703125" style="220" bestFit="1" customWidth="1"/>
    <col min="2" max="3" width="36.7109375" style="220" customWidth="1"/>
    <col min="4" max="4" width="69.42578125" style="220" bestFit="1" customWidth="1"/>
    <col min="5" max="5" width="9.28515625" style="220"/>
    <col min="6" max="6" width="88.7109375" style="220" bestFit="1" customWidth="1"/>
    <col min="7" max="16384" width="9.28515625" style="439"/>
  </cols>
  <sheetData>
    <row r="1" spans="1:6" ht="19.899999999999999" customHeight="1" x14ac:dyDescent="0.25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89" t="s">
        <v>154</v>
      </c>
    </row>
    <row r="2" spans="1:6" ht="19.899999999999999" customHeight="1" thickBot="1" x14ac:dyDescent="0.3">
      <c r="A2" s="55" t="s">
        <v>216</v>
      </c>
      <c r="B2" s="55"/>
      <c r="C2" s="54"/>
      <c r="D2" s="54" t="str">
        <f>'Input-FX Rates'!$H$2</f>
        <v>7521 &amp; 7522 PL Mechatronic Sensors (&amp; Electrification)</v>
      </c>
      <c r="F2" s="95" t="s">
        <v>156</v>
      </c>
    </row>
    <row r="4" spans="1:6" ht="24" customHeight="1" x14ac:dyDescent="0.2">
      <c r="A4" s="644" t="str">
        <f>"in '000 "&amp;"EUR"</f>
        <v>in '000 EUR</v>
      </c>
      <c r="B4" s="1027" t="s">
        <v>153</v>
      </c>
      <c r="C4" s="1028"/>
      <c r="D4" s="186"/>
      <c r="F4" s="266"/>
    </row>
    <row r="5" spans="1:6" ht="24" customHeight="1" x14ac:dyDescent="0.2">
      <c r="A5" s="644"/>
      <c r="B5" s="186" t="s">
        <v>217</v>
      </c>
      <c r="C5" s="644" t="s">
        <v>218</v>
      </c>
      <c r="D5" s="186" t="s">
        <v>208</v>
      </c>
      <c r="F5" s="266" t="s">
        <v>219</v>
      </c>
    </row>
    <row r="6" spans="1:6" ht="22.9" customHeight="1" x14ac:dyDescent="0.2">
      <c r="A6" s="440" t="s">
        <v>220</v>
      </c>
      <c r="B6" s="78">
        <f>IFERROR('1.1 Structural changes (LC)'!B6,0)</f>
        <v>0</v>
      </c>
      <c r="C6" s="264">
        <f>IFERROR('1.1 Structural changes (LC)'!C6/'Input-FX Rates'!$H$16,0)</f>
        <v>0</v>
      </c>
      <c r="D6" s="953" t="str">
        <f>IF(ISBLANK('1.1 Structural changes (LC)'!D6),"",'1.1 Structural changes (LC)'!D6)</f>
        <v/>
      </c>
      <c r="F6" s="266"/>
    </row>
    <row r="7" spans="1:6" ht="19.149999999999999" customHeight="1" x14ac:dyDescent="0.2">
      <c r="A7" s="691" t="str">
        <f>IF(ISBLANK('1.1 Structural changes (LC)'!A7),"",'1.1 Structural changes (LC)'!A7)</f>
        <v>Maintenance harmonization</v>
      </c>
      <c r="B7" s="692">
        <f>IFERROR('1.1 Structural changes (LC)'!B7,0)</f>
        <v>0</v>
      </c>
      <c r="C7" s="693">
        <f>IFERROR('1.1 Structural changes (LC)'!C7/'Input-FX Rates'!$H$16,0)</f>
        <v>0</v>
      </c>
      <c r="D7" s="954" t="str">
        <f>IF(ISBLANK('1.1 Structural changes (LC)'!D7),"",'1.1 Structural changes (LC)'!D7)</f>
        <v>Maintenance cost moved  from LDC to MDC(185K EUR)</v>
      </c>
      <c r="F7" s="266" t="s">
        <v>223</v>
      </c>
    </row>
    <row r="8" spans="1:6" ht="19.149999999999999" customHeight="1" x14ac:dyDescent="0.2">
      <c r="A8" s="691" t="str">
        <f>IF(ISBLANK('1.1 Structural changes (LC)'!A8),"",'1.1 Structural changes (LC)'!A8)</f>
        <v>Structural change 2</v>
      </c>
      <c r="B8" s="692">
        <f>IFERROR('1.1 Structural changes (LC)'!B8,0)</f>
        <v>0</v>
      </c>
      <c r="C8" s="693">
        <f>IFERROR('1.1 Structural changes (LC)'!C8/'Input-FX Rates'!$H$16,0)</f>
        <v>0</v>
      </c>
      <c r="D8" s="954" t="str">
        <f>IF(ISBLANK('1.1 Structural changes (LC)'!D8),"",'1.1 Structural changes (LC)'!D8)</f>
        <v/>
      </c>
      <c r="F8" s="266" t="s">
        <v>225</v>
      </c>
    </row>
    <row r="9" spans="1:6" ht="19.149999999999999" customHeight="1" x14ac:dyDescent="0.2">
      <c r="A9" s="691" t="str">
        <f>IF(ISBLANK('1.1 Structural changes (LC)'!A9),"",'1.1 Structural changes (LC)'!A9)</f>
        <v>Structural change 3</v>
      </c>
      <c r="B9" s="692">
        <f>IFERROR('1.1 Structural changes (LC)'!B9,0)</f>
        <v>0</v>
      </c>
      <c r="C9" s="693">
        <f>IFERROR('1.1 Structural changes (LC)'!C9/'Input-FX Rates'!$H$16,0)</f>
        <v>0</v>
      </c>
      <c r="D9" s="954" t="str">
        <f>IF(ISBLANK('1.1 Structural changes (LC)'!D9),"",'1.1 Structural changes (LC)'!D9)</f>
        <v/>
      </c>
      <c r="F9" s="266"/>
    </row>
    <row r="10" spans="1:6" ht="19.149999999999999" customHeight="1" x14ac:dyDescent="0.2">
      <c r="A10" s="691" t="str">
        <f>IF(ISBLANK('1.1 Structural changes (LC)'!A10),"",'1.1 Structural changes (LC)'!A10)</f>
        <v>Structural change 4</v>
      </c>
      <c r="B10" s="692">
        <f>IFERROR('1.1 Structural changes (LC)'!B10,0)</f>
        <v>0</v>
      </c>
      <c r="C10" s="693">
        <f>IFERROR('1.1 Structural changes (LC)'!C10/'Input-FX Rates'!$H$16,0)</f>
        <v>0</v>
      </c>
      <c r="D10" s="954" t="str">
        <f>IF(ISBLANK('1.1 Structural changes (LC)'!D10),"",'1.1 Structural changes (LC)'!D10)</f>
        <v/>
      </c>
      <c r="F10" s="266" t="s">
        <v>228</v>
      </c>
    </row>
    <row r="11" spans="1:6" ht="19.149999999999999" customHeight="1" x14ac:dyDescent="0.2">
      <c r="A11" s="691" t="str">
        <f>IF(ISBLANK('1.1 Structural changes (LC)'!A11),"",'1.1 Structural changes (LC)'!A11)</f>
        <v>Structural change 5</v>
      </c>
      <c r="B11" s="692">
        <f>IFERROR('1.1 Structural changes (LC)'!B11,0)</f>
        <v>0</v>
      </c>
      <c r="C11" s="693">
        <f>IFERROR('1.1 Structural changes (LC)'!C11/'Input-FX Rates'!$H$16,0)</f>
        <v>0</v>
      </c>
      <c r="D11" s="954" t="str">
        <f>IF(ISBLANK('1.1 Structural changes (LC)'!D11),"",'1.1 Structural changes (LC)'!D11)</f>
        <v/>
      </c>
      <c r="F11" s="266" t="s">
        <v>230</v>
      </c>
    </row>
    <row r="12" spans="1:6" ht="19.149999999999999" customHeight="1" x14ac:dyDescent="0.2">
      <c r="A12" s="691" t="str">
        <f>IF(ISBLANK('1.1 Structural changes (LC)'!A12),"",'1.1 Structural changes (LC)'!A12)</f>
        <v>Structural change 6</v>
      </c>
      <c r="B12" s="692">
        <f>IFERROR('1.1 Structural changes (LC)'!B12,0)</f>
        <v>0</v>
      </c>
      <c r="C12" s="693">
        <f>IFERROR('1.1 Structural changes (LC)'!C12/'Input-FX Rates'!$H$16,0)</f>
        <v>0</v>
      </c>
      <c r="D12" s="954" t="str">
        <f>IF(ISBLANK('1.1 Structural changes (LC)'!D12),"",'1.1 Structural changes (LC)'!D12)</f>
        <v/>
      </c>
      <c r="F12" s="266"/>
    </row>
    <row r="13" spans="1:6" ht="19.149999999999999" customHeight="1" x14ac:dyDescent="0.2">
      <c r="A13" s="691" t="str">
        <f>IF(ISBLANK('1.1 Structural changes (LC)'!A13),"",'1.1 Structural changes (LC)'!A13)</f>
        <v>Structural change 7</v>
      </c>
      <c r="B13" s="692">
        <f>IFERROR('1.1 Structural changes (LC)'!B13,0)</f>
        <v>0</v>
      </c>
      <c r="C13" s="693">
        <f>IFERROR('1.1 Structural changes (LC)'!C13/'Input-FX Rates'!$H$16,0)</f>
        <v>0</v>
      </c>
      <c r="D13" s="954" t="str">
        <f>IF(ISBLANK('1.1 Structural changes (LC)'!D13),"",'1.1 Structural changes (LC)'!D13)</f>
        <v/>
      </c>
      <c r="F13" s="266"/>
    </row>
    <row r="14" spans="1:6" ht="19.149999999999999" customHeight="1" x14ac:dyDescent="0.2">
      <c r="A14" s="691" t="str">
        <f>IF(ISBLANK('1.1 Structural changes (LC)'!A14),"",'1.1 Structural changes (LC)'!A14)</f>
        <v>Structural change 8</v>
      </c>
      <c r="B14" s="692">
        <f>IFERROR('1.1 Structural changes (LC)'!B14,0)</f>
        <v>0</v>
      </c>
      <c r="C14" s="693">
        <f>IFERROR('1.1 Structural changes (LC)'!C14/'Input-FX Rates'!$H$16,0)</f>
        <v>0</v>
      </c>
      <c r="D14" s="954" t="str">
        <f>IF(ISBLANK('1.1 Structural changes (LC)'!D14),"",'1.1 Structural changes (LC)'!D14)</f>
        <v/>
      </c>
      <c r="F14" s="266" t="s">
        <v>234</v>
      </c>
    </row>
    <row r="15" spans="1:6" ht="19.149999999999999" customHeight="1" x14ac:dyDescent="0.2">
      <c r="A15" s="691" t="str">
        <f>IF(ISBLANK('1.1 Structural changes (LC)'!A15),"",'1.1 Structural changes (LC)'!A15)</f>
        <v>Structural change 9</v>
      </c>
      <c r="B15" s="692">
        <f>IFERROR('1.1 Structural changes (LC)'!B15,0)</f>
        <v>0</v>
      </c>
      <c r="C15" s="693">
        <f>IFERROR('1.1 Structural changes (LC)'!C15/'Input-FX Rates'!$H$16,0)</f>
        <v>0</v>
      </c>
      <c r="D15" s="954" t="str">
        <f>IF(ISBLANK('1.1 Structural changes (LC)'!D15),"",'1.1 Structural changes (LC)'!D15)</f>
        <v/>
      </c>
      <c r="F15" s="266"/>
    </row>
    <row r="16" spans="1:6" ht="19.149999999999999" customHeight="1" x14ac:dyDescent="0.2">
      <c r="A16" s="691" t="str">
        <f>IF(ISBLANK('1.1 Structural changes (LC)'!A16),"",'1.1 Structural changes (LC)'!A16)</f>
        <v>Structural change 10</v>
      </c>
      <c r="B16" s="692">
        <f>IFERROR('1.1 Structural changes (LC)'!B16,0)</f>
        <v>0</v>
      </c>
      <c r="C16" s="693">
        <f>IFERROR('1.1 Structural changes (LC)'!C16/'Input-FX Rates'!$H$16,0)</f>
        <v>0</v>
      </c>
      <c r="D16" s="954" t="str">
        <f>IF(ISBLANK('1.1 Structural changes (LC)'!D16),"",'1.1 Structural changes (LC)'!D16)</f>
        <v/>
      </c>
      <c r="F16" s="266"/>
    </row>
    <row r="17" spans="1:6" ht="22.9" customHeight="1" x14ac:dyDescent="0.2">
      <c r="A17" s="440" t="s">
        <v>237</v>
      </c>
      <c r="B17" s="78">
        <f>IFERROR('1.1 Structural changes (LC)'!B17,0)</f>
        <v>0</v>
      </c>
      <c r="C17" s="264">
        <f>IFERROR('1.1 Structural changes (LC)'!C17/'Input-FX Rates'!$H$16,0)</f>
        <v>0</v>
      </c>
      <c r="D17" s="953" t="str">
        <f>IF(ISBLANK('1.1 Structural changes (LC)'!D17),"",'1.1 Structural changes (LC)'!D17)</f>
        <v/>
      </c>
      <c r="F17" s="266"/>
    </row>
    <row r="18" spans="1:6" ht="19.149999999999999" customHeight="1" x14ac:dyDescent="0.2">
      <c r="A18" s="691" t="str">
        <f>IF(ISBLANK('1.1 Structural changes (LC)'!A18),"",'1.1 Structural changes (LC)'!A18)</f>
        <v>Structural change 1</v>
      </c>
      <c r="B18" s="692">
        <f>IFERROR('1.1 Structural changes (LC)'!B18,0)</f>
        <v>0</v>
      </c>
      <c r="C18" s="693">
        <f>IFERROR('1.1 Structural changes (LC)'!C18/'Input-FX Rates'!$H$16,0)</f>
        <v>0</v>
      </c>
      <c r="D18" s="954" t="str">
        <f>IF(ISBLANK('1.1 Structural changes (LC)'!D18),"",'1.1 Structural changes (LC)'!D18)</f>
        <v/>
      </c>
    </row>
    <row r="19" spans="1:6" ht="19.149999999999999" customHeight="1" x14ac:dyDescent="0.2">
      <c r="A19" s="691" t="str">
        <f>IF(ISBLANK('1.1 Structural changes (LC)'!A19),"",'1.1 Structural changes (LC)'!A19)</f>
        <v>Structural change 2</v>
      </c>
      <c r="B19" s="692">
        <f>IFERROR('1.1 Structural changes (LC)'!B19,0)</f>
        <v>0</v>
      </c>
      <c r="C19" s="693">
        <f>IFERROR('1.1 Structural changes (LC)'!C19/'Input-FX Rates'!$H$16,0)</f>
        <v>0</v>
      </c>
      <c r="D19" s="954" t="str">
        <f>IF(ISBLANK('1.1 Structural changes (LC)'!D19),"",'1.1 Structural changes (LC)'!D19)</f>
        <v/>
      </c>
      <c r="F19" s="684"/>
    </row>
    <row r="20" spans="1:6" ht="19.149999999999999" customHeight="1" x14ac:dyDescent="0.2">
      <c r="A20" s="691" t="str">
        <f>IF(ISBLANK('1.1 Structural changes (LC)'!A20),"",'1.1 Structural changes (LC)'!A20)</f>
        <v>Structural change 3</v>
      </c>
      <c r="B20" s="692">
        <f>IFERROR('1.1 Structural changes (LC)'!B20,0)</f>
        <v>0</v>
      </c>
      <c r="C20" s="693">
        <f>IFERROR('1.1 Structural changes (LC)'!C20/'Input-FX Rates'!$H$16,0)</f>
        <v>0</v>
      </c>
      <c r="D20" s="954" t="str">
        <f>IF(ISBLANK('1.1 Structural changes (LC)'!D20),"",'1.1 Structural changes (LC)'!D20)</f>
        <v/>
      </c>
      <c r="F20" s="684"/>
    </row>
    <row r="21" spans="1:6" ht="19.149999999999999" customHeight="1" x14ac:dyDescent="0.2">
      <c r="A21" s="691" t="str">
        <f>IF(ISBLANK('1.1 Structural changes (LC)'!A21),"",'1.1 Structural changes (LC)'!A21)</f>
        <v>Structural change 4</v>
      </c>
      <c r="B21" s="692">
        <f>IFERROR('1.1 Structural changes (LC)'!B21,0)</f>
        <v>0</v>
      </c>
      <c r="C21" s="693">
        <f>IFERROR('1.1 Structural changes (LC)'!C21/'Input-FX Rates'!$H$16,0)</f>
        <v>0</v>
      </c>
      <c r="D21" s="954" t="str">
        <f>IF(ISBLANK('1.1 Structural changes (LC)'!D21),"",'1.1 Structural changes (LC)'!D21)</f>
        <v/>
      </c>
      <c r="F21" s="684"/>
    </row>
    <row r="22" spans="1:6" ht="19.149999999999999" customHeight="1" x14ac:dyDescent="0.2">
      <c r="A22" s="691" t="str">
        <f>IF(ISBLANK('1.1 Structural changes (LC)'!A22),"",'1.1 Structural changes (LC)'!A22)</f>
        <v>Structural change 5</v>
      </c>
      <c r="B22" s="692">
        <f>IFERROR('1.1 Structural changes (LC)'!B22,0)</f>
        <v>0</v>
      </c>
      <c r="C22" s="693">
        <f>IFERROR('1.1 Structural changes (LC)'!C22/'Input-FX Rates'!$H$16,0)</f>
        <v>0</v>
      </c>
      <c r="D22" s="954" t="str">
        <f>IF(ISBLANK('1.1 Structural changes (LC)'!D22),"",'1.1 Structural changes (LC)'!D22)</f>
        <v/>
      </c>
    </row>
    <row r="23" spans="1:6" ht="19.149999999999999" customHeight="1" x14ac:dyDescent="0.2">
      <c r="A23" s="691" t="str">
        <f>IF(ISBLANK('1.1 Structural changes (LC)'!A23),"",'1.1 Structural changes (LC)'!A23)</f>
        <v>Structural change 6</v>
      </c>
      <c r="B23" s="692">
        <f>IFERROR('1.1 Structural changes (LC)'!B23,0)</f>
        <v>0</v>
      </c>
      <c r="C23" s="693">
        <f>IFERROR('1.1 Structural changes (LC)'!C23/'Input-FX Rates'!$H$16,0)</f>
        <v>0</v>
      </c>
      <c r="D23" s="954" t="str">
        <f>IF(ISBLANK('1.1 Structural changes (LC)'!D23),"",'1.1 Structural changes (LC)'!D23)</f>
        <v/>
      </c>
    </row>
    <row r="24" spans="1:6" ht="19.149999999999999" customHeight="1" x14ac:dyDescent="0.2">
      <c r="A24" s="691" t="str">
        <f>IF(ISBLANK('1.1 Structural changes (LC)'!A24),"",'1.1 Structural changes (LC)'!A24)</f>
        <v>Structural change 7</v>
      </c>
      <c r="B24" s="692">
        <f>IFERROR('1.1 Structural changes (LC)'!B24,0)</f>
        <v>0</v>
      </c>
      <c r="C24" s="693">
        <f>IFERROR('1.1 Structural changes (LC)'!C24/'Input-FX Rates'!$H$16,0)</f>
        <v>0</v>
      </c>
      <c r="D24" s="954" t="str">
        <f>IF(ISBLANK('1.1 Structural changes (LC)'!D24),"",'1.1 Structural changes (LC)'!D24)</f>
        <v/>
      </c>
    </row>
    <row r="25" spans="1:6" ht="19.149999999999999" customHeight="1" x14ac:dyDescent="0.2">
      <c r="A25" s="691" t="str">
        <f>IF(ISBLANK('1.1 Structural changes (LC)'!A25),"",'1.1 Structural changes (LC)'!A25)</f>
        <v>Structural change 8</v>
      </c>
      <c r="B25" s="692">
        <f>IFERROR('1.1 Structural changes (LC)'!B25,0)</f>
        <v>0</v>
      </c>
      <c r="C25" s="693">
        <f>IFERROR('1.1 Structural changes (LC)'!C25/'Input-FX Rates'!$H$16,0)</f>
        <v>0</v>
      </c>
      <c r="D25" s="954" t="str">
        <f>IF(ISBLANK('1.1 Structural changes (LC)'!D25),"",'1.1 Structural changes (LC)'!D25)</f>
        <v/>
      </c>
    </row>
    <row r="26" spans="1:6" ht="19.149999999999999" customHeight="1" x14ac:dyDescent="0.2">
      <c r="A26" s="691" t="str">
        <f>IF(ISBLANK('1.1 Structural changes (LC)'!A26),"",'1.1 Structural changes (LC)'!A26)</f>
        <v>Structural change 9</v>
      </c>
      <c r="B26" s="692">
        <f>IFERROR('1.1 Structural changes (LC)'!B26,0)</f>
        <v>0</v>
      </c>
      <c r="C26" s="693">
        <f>IFERROR('1.1 Structural changes (LC)'!C26/'Input-FX Rates'!$H$16,0)</f>
        <v>0</v>
      </c>
      <c r="D26" s="954" t="str">
        <f>IF(ISBLANK('1.1 Structural changes (LC)'!D26),"",'1.1 Structural changes (LC)'!D26)</f>
        <v/>
      </c>
    </row>
    <row r="27" spans="1:6" ht="19.149999999999999" customHeight="1" x14ac:dyDescent="0.2">
      <c r="A27" s="691" t="str">
        <f>IF(ISBLANK('1.1 Structural changes (LC)'!A27),"",'1.1 Structural changes (LC)'!A27)</f>
        <v>Structural change 10</v>
      </c>
      <c r="B27" s="692">
        <f>IFERROR('1.1 Structural changes (LC)'!B27,0)</f>
        <v>0</v>
      </c>
      <c r="C27" s="693">
        <f>IFERROR('1.1 Structural changes (LC)'!C27/'Input-FX Rates'!$H$16,0)</f>
        <v>0</v>
      </c>
      <c r="D27" s="954" t="str">
        <f>IF(ISBLANK('1.1 Structural changes (LC)'!D27),"",'1.1 Structural changes (LC)'!D27)</f>
        <v/>
      </c>
    </row>
    <row r="28" spans="1:6" ht="22.5" customHeight="1" x14ac:dyDescent="0.2">
      <c r="A28" s="440" t="s">
        <v>239</v>
      </c>
      <c r="B28" s="78">
        <f>IFERROR('1.1 Structural changes (LC)'!B28,0)</f>
        <v>0</v>
      </c>
      <c r="C28" s="264">
        <f>IFERROR('1.1 Structural changes (LC)'!C28/'Input-FX Rates'!$H$16,0)</f>
        <v>0</v>
      </c>
      <c r="D28" s="953" t="str">
        <f>IF(ISBLANK('1.1 Structural changes (LC)'!D28),"",'1.1 Structural changes (LC)'!D28)</f>
        <v/>
      </c>
    </row>
  </sheetData>
  <mergeCells count="1">
    <mergeCell ref="B4:C4"/>
  </mergeCells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AF870E99ECA94F864B327C5B7E3838" ma:contentTypeVersion="48" ma:contentTypeDescription="Create a new document." ma:contentTypeScope="" ma:versionID="82b9f7007cc6be862c240747973d81ce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e8258b38c56eae07d2fa1a90e4b3e342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4.xml><?xml version="1.0" encoding="utf-8"?>
<Application xmlns="http://www.sap.com/cof/excel/application">
  <Version>2</Version>
  <Revision>2.8.1300.98253</Revision>
</Application>
</file>

<file path=customXml/itemProps1.xml><?xml version="1.0" encoding="utf-8"?>
<ds:datastoreItem xmlns:ds="http://schemas.openxmlformats.org/officeDocument/2006/customXml" ds:itemID="{6A554AAA-88C8-4AF5-8F62-B083D6130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3030a-d705-4552-b829-e01f656186ac"/>
    <ds:schemaRef ds:uri="04cfd3d3-2c89-4764-aaab-c87677d64949"/>
    <ds:schemaRef ds:uri="50a08be1-ba3e-4a79-8f58-48006bbce9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CC5501-9A21-4D82-B6A8-2915BE593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6946B0-D050-4DE0-9B51-0E296A5703B4}">
  <ds:schemaRefs>
    <ds:schemaRef ds:uri="http://schemas.microsoft.com/office/2006/metadata/properties"/>
    <ds:schemaRef ds:uri="http://schemas.microsoft.com/office/infopath/2007/PartnerControls"/>
    <ds:schemaRef ds:uri="04cfd3d3-2c89-4764-aaab-c87677d64949"/>
    <ds:schemaRef ds:uri="50a08be1-ba3e-4a79-8f58-48006bbce96a"/>
    <ds:schemaRef ds:uri="2ae3030a-d705-4552-b829-e01f656186ac"/>
  </ds:schemaRefs>
</ds:datastoreItem>
</file>

<file path=customXml/itemProps4.xml><?xml version="1.0" encoding="utf-8"?>
<ds:datastoreItem xmlns:ds="http://schemas.openxmlformats.org/officeDocument/2006/customXml" ds:itemID="{4F41CFFB-0498-4774-BC55-B936F78AA92C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28</vt:i4>
      </vt:variant>
    </vt:vector>
  </HeadingPairs>
  <TitlesOfParts>
    <vt:vector size="62" baseType="lpstr">
      <vt:lpstr>Version History</vt:lpstr>
      <vt:lpstr>Settings</vt:lpstr>
      <vt:lpstr>Input-FX Rates</vt:lpstr>
      <vt:lpstr>0. Instructions</vt:lpstr>
      <vt:lpstr>1. Main Issues (LC)</vt:lpstr>
      <vt:lpstr>1. Main Issues (GC)</vt:lpstr>
      <vt:lpstr>1.1 Structural changes (LC)</vt:lpstr>
      <vt:lpstr>1.1 Structural changes (GC)</vt:lpstr>
      <vt:lpstr>2. Variable (LC)</vt:lpstr>
      <vt:lpstr>2. Variable (GC)</vt:lpstr>
      <vt:lpstr>3. Scrap (LC)</vt:lpstr>
      <vt:lpstr>3. Scrap (GC)</vt:lpstr>
      <vt:lpstr>4. Fix Cost (LC) </vt:lpstr>
      <vt:lpstr>4. Fix Cost (GC)</vt:lpstr>
      <vt:lpstr>5. Logistic Cost (LC)</vt:lpstr>
      <vt:lpstr>5.  Logistic Cost (GC)</vt:lpstr>
      <vt:lpstr>5.1 Inventory (LC)</vt:lpstr>
      <vt:lpstr>5.1 Inventory (GC)</vt:lpstr>
      <vt:lpstr>6. HC (LC)</vt:lpstr>
      <vt:lpstr>6. HC (GC)</vt:lpstr>
      <vt:lpstr>7. BS-Key Figures (LC)</vt:lpstr>
      <vt:lpstr>7. BS-Key Figures (GC)</vt:lpstr>
      <vt:lpstr>8. Volumes</vt:lpstr>
      <vt:lpstr>10. Purchasing (LC)</vt:lpstr>
      <vt:lpstr>10. Purchasing (GC)</vt:lpstr>
      <vt:lpstr>11. R&amp;O (LC) </vt:lpstr>
      <vt:lpstr>11. R&amp;O (GC)</vt:lpstr>
      <vt:lpstr>P&amp;L</vt:lpstr>
      <vt:lpstr>KeyData</vt:lpstr>
      <vt:lpstr>P&amp;L_seasonal</vt:lpstr>
      <vt:lpstr>KeyData_seasonal</vt:lpstr>
      <vt:lpstr>Race_2024</vt:lpstr>
      <vt:lpstr>Race_2024_Seasonal</vt:lpstr>
      <vt:lpstr>Consolidation_BU_Budget</vt:lpstr>
      <vt:lpstr>BA_code</vt:lpstr>
      <vt:lpstr>BA_Name</vt:lpstr>
      <vt:lpstr>BU_Codes</vt:lpstr>
      <vt:lpstr>FX_BS</vt:lpstr>
      <vt:lpstr>FX_PL</vt:lpstr>
      <vt:lpstr>Outlet_Codes</vt:lpstr>
      <vt:lpstr>Plant_Code_FIRE</vt:lpstr>
      <vt:lpstr>'1. Main Issues (GC)'!Print_Area</vt:lpstr>
      <vt:lpstr>'1. Main Issues (LC)'!Print_Area</vt:lpstr>
      <vt:lpstr>'1.1 Structural changes (GC)'!Print_Area</vt:lpstr>
      <vt:lpstr>'1.1 Structural changes (LC)'!Print_Area</vt:lpstr>
      <vt:lpstr>'11. R&amp;O (GC)'!Print_Area</vt:lpstr>
      <vt:lpstr>'11. R&amp;O (LC) '!Print_Area</vt:lpstr>
      <vt:lpstr>'2. Variable (GC)'!Print_Area</vt:lpstr>
      <vt:lpstr>'2. Variable (LC)'!Print_Area</vt:lpstr>
      <vt:lpstr>'3. Scrap (GC)'!Print_Area</vt:lpstr>
      <vt:lpstr>'3. Scrap (LC)'!Print_Area</vt:lpstr>
      <vt:lpstr>'4. Fix Cost (GC)'!Print_Area</vt:lpstr>
      <vt:lpstr>'4. Fix Cost (LC) '!Print_Area</vt:lpstr>
      <vt:lpstr>'5.  Logistic Cost (GC)'!Print_Area</vt:lpstr>
      <vt:lpstr>'5. Logistic Cost (LC)'!Print_Area</vt:lpstr>
      <vt:lpstr>'6. HC (GC)'!Print_Area</vt:lpstr>
      <vt:lpstr>'6. HC (LC)'!Print_Area</vt:lpstr>
      <vt:lpstr>'7. BS-Key Figures (GC)'!Print_Area</vt:lpstr>
      <vt:lpstr>'7. BS-Key Figures (LC)'!Print_Area</vt:lpstr>
      <vt:lpstr>'8. Volumes'!Print_Area</vt:lpstr>
      <vt:lpstr>SAPCrosstab1</vt:lpstr>
      <vt:lpstr>SAPCrosstab3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Gruel, Kim (uic34337)</dc:creator>
  <cp:keywords/>
  <dc:description/>
  <cp:lastModifiedBy>Cho, HwanYeong (uiv17345)</cp:lastModifiedBy>
  <cp:revision/>
  <dcterms:created xsi:type="dcterms:W3CDTF">2022-07-01T11:20:38Z</dcterms:created>
  <dcterms:modified xsi:type="dcterms:W3CDTF">2023-10-05T04:35:36Z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0x0101007EAF870E99ECA94F864B327C5B7E3838</vt:lpwstr>
  </property>
  <property fmtid="{D5CDD505-2E9C-101B-9397-08002B2CF9AE}" pid="11" name="MediaServiceImageTags">
    <vt:lpwstr/>
  </property>
</Properties>
</file>